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MVR\CMVR\Administrativo\Divisao Licitacao\Licitação 2026\EM LICITAÇÃO\LIMPEZA\EDITAL 01 DE 2026\EM PDF\"/>
    </mc:Choice>
  </mc:AlternateContent>
  <xr:revisionPtr revIDLastSave="0" documentId="13_ncr:1_{5D38F74B-9E61-4793-B5AA-9D1FD0F8F136}" xr6:coauthVersionLast="47" xr6:coauthVersionMax="47" xr10:uidLastSave="{00000000-0000-0000-0000-000000000000}"/>
  <bookViews>
    <workbookView xWindow="-109" yWindow="-109" windowWidth="26301" windowHeight="14169" tabRatio="934" firstSheet="2" activeTab="5" xr2:uid="{00000000-000D-0000-FFFF-FFFF00000000}"/>
  </bookViews>
  <sheets>
    <sheet name="Lucro Real" sheetId="4" r:id="rId1"/>
    <sheet name="ENCARREGADO" sheetId="16" r:id="rId2"/>
    <sheet name="LIDER DE TURMA - LUCRO REAL" sheetId="12" r:id="rId3"/>
    <sheet name="SERVENTE - LUCRO REAL" sheetId="14" r:id="rId4"/>
    <sheet name="CONFORME IN" sheetId="15" r:id="rId5"/>
    <sheet name="Quantidade de Serventes" sheetId="7" r:id="rId6"/>
  </sheets>
  <calcPr calcId="191029" calcMode="manual"/>
</workbook>
</file>

<file path=xl/calcChain.xml><?xml version="1.0" encoding="utf-8"?>
<calcChain xmlns="http://schemas.openxmlformats.org/spreadsheetml/2006/main">
  <c r="G75" i="15" l="1"/>
  <c r="G27" i="15"/>
  <c r="G28" i="15"/>
  <c r="I103" i="14"/>
  <c r="I103" i="12"/>
  <c r="E30" i="15"/>
  <c r="E29" i="15"/>
  <c r="E27" i="15"/>
  <c r="D2" i="7"/>
  <c r="E26" i="15"/>
  <c r="E21" i="15"/>
  <c r="E64" i="15"/>
  <c r="E62" i="15"/>
  <c r="E65" i="15"/>
  <c r="E40" i="15"/>
  <c r="E37" i="15"/>
  <c r="H65" i="15"/>
  <c r="H64" i="15"/>
  <c r="F2" i="7"/>
  <c r="E158" i="14"/>
  <c r="E39" i="15"/>
  <c r="I28" i="12"/>
  <c r="I23" i="12"/>
  <c r="H115" i="12"/>
  <c r="D4" i="7"/>
  <c r="E56" i="15"/>
  <c r="H61" i="15"/>
  <c r="G61" i="15"/>
  <c r="G62" i="15" s="1"/>
  <c r="E22" i="15"/>
  <c r="E61" i="15"/>
  <c r="I64" i="15" l="1"/>
  <c r="I65" i="15"/>
  <c r="I61" i="15"/>
  <c r="H115" i="14" l="1"/>
  <c r="H72" i="14" l="1"/>
  <c r="H72" i="12"/>
  <c r="H69" i="14"/>
  <c r="H69" i="12"/>
  <c r="H68" i="14"/>
  <c r="H68" i="12"/>
  <c r="H113" i="12"/>
  <c r="H36" i="14" l="1"/>
  <c r="I51" i="12" l="1"/>
  <c r="H41" i="12" l="1"/>
  <c r="I72" i="12" l="1"/>
  <c r="H36" i="12" l="1"/>
  <c r="I54" i="14" l="1"/>
  <c r="I54" i="12"/>
  <c r="I51" i="14"/>
  <c r="H41" i="14"/>
  <c r="E36" i="15" l="1"/>
  <c r="I50" i="12" l="1"/>
  <c r="I56" i="12" s="1"/>
  <c r="I149" i="12"/>
  <c r="I143" i="12"/>
  <c r="B132" i="12"/>
  <c r="B130" i="12"/>
  <c r="B129" i="12"/>
  <c r="B128" i="12"/>
  <c r="B127" i="12"/>
  <c r="B126" i="12"/>
  <c r="H87" i="12"/>
  <c r="H83" i="12"/>
  <c r="H47" i="12"/>
  <c r="H71" i="12" s="1"/>
  <c r="H73" i="12" s="1"/>
  <c r="I143" i="14"/>
  <c r="B132" i="14"/>
  <c r="B130" i="14"/>
  <c r="B129" i="14"/>
  <c r="B128" i="14"/>
  <c r="B127" i="14"/>
  <c r="B126" i="14"/>
  <c r="H113" i="14"/>
  <c r="H87" i="14"/>
  <c r="H83" i="14"/>
  <c r="H47" i="14"/>
  <c r="H71" i="14" s="1"/>
  <c r="I23" i="14"/>
  <c r="I50" i="14" s="1"/>
  <c r="H73" i="14" l="1"/>
  <c r="I56" i="14"/>
  <c r="I62" i="14" s="1"/>
  <c r="I25" i="14"/>
  <c r="I62" i="12"/>
  <c r="I25" i="12"/>
  <c r="I28" i="14"/>
  <c r="D73" i="15"/>
  <c r="D72" i="15"/>
  <c r="H62" i="15"/>
  <c r="I62" i="15" s="1"/>
  <c r="F119" i="15"/>
  <c r="F123" i="15" s="1"/>
  <c r="H118" i="15"/>
  <c r="H119" i="15"/>
  <c r="H117" i="15"/>
  <c r="H123" i="15"/>
  <c r="E123" i="15"/>
  <c r="H122" i="15"/>
  <c r="E122" i="15"/>
  <c r="H121" i="15"/>
  <c r="G121" i="15"/>
  <c r="E121" i="15"/>
  <c r="E119" i="15"/>
  <c r="G118" i="15"/>
  <c r="G122" i="15" s="1"/>
  <c r="E118" i="15"/>
  <c r="E117" i="15"/>
  <c r="I29" i="12" l="1"/>
  <c r="I29" i="14"/>
  <c r="I121" i="15"/>
  <c r="I118" i="15"/>
  <c r="I117" i="15"/>
  <c r="I122" i="15"/>
  <c r="G119" i="15"/>
  <c r="G123" i="15" s="1"/>
  <c r="I123" i="15" s="1"/>
  <c r="J123" i="15" s="1"/>
  <c r="I81" i="14" l="1"/>
  <c r="I77" i="14"/>
  <c r="I33" i="14"/>
  <c r="I70" i="14"/>
  <c r="I67" i="14"/>
  <c r="I69" i="14"/>
  <c r="I68" i="14"/>
  <c r="I35" i="14"/>
  <c r="I72" i="14"/>
  <c r="I71" i="14"/>
  <c r="I70" i="12"/>
  <c r="I67" i="12"/>
  <c r="I77" i="12"/>
  <c r="I81" i="12"/>
  <c r="I69" i="12"/>
  <c r="I68" i="12"/>
  <c r="I71" i="12"/>
  <c r="I34" i="14"/>
  <c r="I79" i="14"/>
  <c r="I35" i="12"/>
  <c r="I33" i="12"/>
  <c r="I34" i="12"/>
  <c r="I78" i="14"/>
  <c r="I126" i="12"/>
  <c r="I78" i="12"/>
  <c r="I82" i="14"/>
  <c r="I80" i="12"/>
  <c r="I82" i="12"/>
  <c r="I79" i="12"/>
  <c r="I126" i="14"/>
  <c r="I86" i="14"/>
  <c r="I87" i="14" s="1"/>
  <c r="I92" i="14" s="1"/>
  <c r="I86" i="12"/>
  <c r="I87" i="12" s="1"/>
  <c r="I92" i="12" s="1"/>
  <c r="I80" i="14"/>
  <c r="I119" i="15"/>
  <c r="J119" i="15" s="1"/>
  <c r="E7" i="15"/>
  <c r="D71" i="15" s="1"/>
  <c r="I146" i="16"/>
  <c r="I140" i="16"/>
  <c r="B129" i="16"/>
  <c r="B127" i="16"/>
  <c r="B126" i="16"/>
  <c r="B125" i="16"/>
  <c r="B124" i="16"/>
  <c r="B123" i="16"/>
  <c r="H112" i="16"/>
  <c r="H110" i="16"/>
  <c r="H86" i="16"/>
  <c r="H82" i="16"/>
  <c r="H71" i="16"/>
  <c r="H67" i="16"/>
  <c r="H68" i="16" s="1"/>
  <c r="I53" i="16"/>
  <c r="I50" i="16"/>
  <c r="H46" i="16"/>
  <c r="H70" i="16" s="1"/>
  <c r="H35" i="16"/>
  <c r="I23" i="16"/>
  <c r="I28" i="16" s="1"/>
  <c r="I73" i="14" l="1"/>
  <c r="I36" i="14"/>
  <c r="I37" i="14" s="1"/>
  <c r="I83" i="14"/>
  <c r="I91" i="14" s="1"/>
  <c r="I36" i="12"/>
  <c r="I37" i="12" s="1"/>
  <c r="I83" i="12"/>
  <c r="I91" i="12" s="1"/>
  <c r="I49" i="16"/>
  <c r="I55" i="16" s="1"/>
  <c r="I61" i="16" s="1"/>
  <c r="I25" i="16"/>
  <c r="I29" i="16" s="1"/>
  <c r="I67" i="16" s="1"/>
  <c r="H72" i="16"/>
  <c r="I94" i="14" l="1"/>
  <c r="I93" i="14"/>
  <c r="I94" i="12"/>
  <c r="I93" i="12"/>
  <c r="I95" i="12" s="1"/>
  <c r="I129" i="12" s="1"/>
  <c r="I40" i="14"/>
  <c r="I42" i="14"/>
  <c r="I45" i="14"/>
  <c r="I44" i="14"/>
  <c r="I39" i="14"/>
  <c r="I43" i="14"/>
  <c r="I46" i="14"/>
  <c r="I41" i="14"/>
  <c r="I45" i="12"/>
  <c r="I42" i="12"/>
  <c r="I46" i="12"/>
  <c r="I43" i="12"/>
  <c r="I39" i="12"/>
  <c r="I40" i="12"/>
  <c r="I44" i="12"/>
  <c r="I41" i="12"/>
  <c r="I60" i="14"/>
  <c r="I60" i="12"/>
  <c r="I95" i="14"/>
  <c r="I129" i="14" s="1"/>
  <c r="I81" i="16"/>
  <c r="I77" i="16"/>
  <c r="I71" i="16"/>
  <c r="I69" i="16"/>
  <c r="I85" i="16"/>
  <c r="I86" i="16" s="1"/>
  <c r="I91" i="16" s="1"/>
  <c r="I76" i="16"/>
  <c r="I68" i="16"/>
  <c r="I66" i="16"/>
  <c r="I123" i="16"/>
  <c r="I79" i="16"/>
  <c r="I70" i="16"/>
  <c r="I78" i="16"/>
  <c r="I34" i="16"/>
  <c r="I33" i="16"/>
  <c r="I80" i="16"/>
  <c r="I82" i="16" l="1"/>
  <c r="I90" i="16" s="1"/>
  <c r="I92" i="16" s="1"/>
  <c r="I126" i="16" s="1"/>
  <c r="I72" i="16"/>
  <c r="I125" i="16" s="1"/>
  <c r="I35" i="16"/>
  <c r="B36" i="7"/>
  <c r="I73" i="12" l="1"/>
  <c r="I128" i="12" s="1"/>
  <c r="I47" i="12"/>
  <c r="I61" i="12" s="1"/>
  <c r="I63" i="12" s="1"/>
  <c r="I127" i="12" s="1"/>
  <c r="I47" i="14"/>
  <c r="I61" i="14" s="1"/>
  <c r="I63" i="14" s="1"/>
  <c r="I127" i="14" s="1"/>
  <c r="D22" i="7"/>
  <c r="I130" i="14"/>
  <c r="I59" i="16"/>
  <c r="K36" i="16"/>
  <c r="I130" i="12" l="1"/>
  <c r="I131" i="12" s="1"/>
  <c r="I45" i="16"/>
  <c r="I41" i="16"/>
  <c r="I44" i="16"/>
  <c r="I40" i="16"/>
  <c r="I43" i="16"/>
  <c r="I39" i="16"/>
  <c r="I42" i="16"/>
  <c r="I38" i="16"/>
  <c r="D24" i="7"/>
  <c r="I128" i="14" l="1"/>
  <c r="I131" i="14" s="1"/>
  <c r="I46" i="16"/>
  <c r="I60" i="16" s="1"/>
  <c r="I62" i="16" s="1"/>
  <c r="E4" i="7"/>
  <c r="F4" i="7" s="1"/>
  <c r="B5" i="7"/>
  <c r="D23" i="7" s="1"/>
  <c r="I107" i="14" l="1"/>
  <c r="I108" i="14" s="1"/>
  <c r="I118" i="14" s="1"/>
  <c r="I120" i="14" s="1"/>
  <c r="I110" i="14" s="1"/>
  <c r="I107" i="12"/>
  <c r="B32" i="7"/>
  <c r="D32" i="7" s="1"/>
  <c r="F32" i="7" s="1"/>
  <c r="I124" i="16"/>
  <c r="I96" i="16"/>
  <c r="J97" i="16" s="1"/>
  <c r="I53" i="4"/>
  <c r="I108" i="12" l="1"/>
  <c r="I118" i="12"/>
  <c r="I120" i="12" s="1"/>
  <c r="I122" i="12" s="1"/>
  <c r="I122" i="14"/>
  <c r="I111" i="14"/>
  <c r="I112" i="14"/>
  <c r="J98" i="16"/>
  <c r="I97" i="16" s="1"/>
  <c r="I100" i="16" s="1"/>
  <c r="I127" i="16" s="1"/>
  <c r="I128" i="16" s="1"/>
  <c r="I50" i="4"/>
  <c r="I49" i="4"/>
  <c r="I110" i="12" l="1"/>
  <c r="I111" i="12"/>
  <c r="I112" i="12"/>
  <c r="I113" i="14"/>
  <c r="I104" i="16"/>
  <c r="D3" i="7"/>
  <c r="E2" i="7"/>
  <c r="I146" i="4"/>
  <c r="I140" i="4"/>
  <c r="B129" i="4"/>
  <c r="B127" i="4"/>
  <c r="B126" i="4"/>
  <c r="B125" i="4"/>
  <c r="B124" i="4"/>
  <c r="B123" i="4"/>
  <c r="H112" i="4"/>
  <c r="H110" i="4"/>
  <c r="H86" i="4"/>
  <c r="H82" i="4"/>
  <c r="H71" i="4"/>
  <c r="H67" i="4"/>
  <c r="H68" i="4" s="1"/>
  <c r="H40" i="4"/>
  <c r="H46" i="4" s="1"/>
  <c r="H70" i="4" s="1"/>
  <c r="H35" i="4"/>
  <c r="I25" i="4"/>
  <c r="I29" i="4" s="1"/>
  <c r="B30" i="7" l="1"/>
  <c r="E3" i="7"/>
  <c r="F3" i="7" s="1"/>
  <c r="I148" i="12"/>
  <c r="I151" i="12" s="1"/>
  <c r="I113" i="12"/>
  <c r="I132" i="14"/>
  <c r="I133" i="14" s="1"/>
  <c r="I105" i="16"/>
  <c r="I115" i="16" s="1"/>
  <c r="I117" i="16" s="1"/>
  <c r="D30" i="7"/>
  <c r="F30" i="7" s="1"/>
  <c r="H72" i="4"/>
  <c r="I55" i="4"/>
  <c r="I61" i="4" s="1"/>
  <c r="I81" i="4"/>
  <c r="I71" i="4"/>
  <c r="I33" i="4"/>
  <c r="I67" i="4"/>
  <c r="I34" i="4"/>
  <c r="I80" i="4"/>
  <c r="I66" i="4"/>
  <c r="I78" i="4"/>
  <c r="I79" i="4"/>
  <c r="I70" i="4"/>
  <c r="I77" i="4"/>
  <c r="I69" i="4"/>
  <c r="I85" i="4"/>
  <c r="I86" i="4" s="1"/>
  <c r="I91" i="4" s="1"/>
  <c r="I76" i="4"/>
  <c r="I68" i="4"/>
  <c r="I123" i="4"/>
  <c r="I96" i="4"/>
  <c r="B31" i="7" l="1"/>
  <c r="I150" i="12"/>
  <c r="I132" i="12"/>
  <c r="I133" i="12" s="1"/>
  <c r="C157" i="14" s="1"/>
  <c r="I119" i="16"/>
  <c r="I107" i="16"/>
  <c r="I145" i="16" s="1"/>
  <c r="I148" i="16" s="1"/>
  <c r="I109" i="16"/>
  <c r="I108" i="16"/>
  <c r="I98" i="4"/>
  <c r="I97" i="4"/>
  <c r="I82" i="4"/>
  <c r="I90" i="4" s="1"/>
  <c r="I92" i="4" s="1"/>
  <c r="I126" i="4" s="1"/>
  <c r="I72" i="4"/>
  <c r="I125" i="4" s="1"/>
  <c r="I35" i="4"/>
  <c r="C3" i="15" l="1"/>
  <c r="F39" i="15" s="1"/>
  <c r="G39" i="15" s="1"/>
  <c r="B155" i="14"/>
  <c r="F26" i="15"/>
  <c r="G26" i="15" s="1"/>
  <c r="F29" i="15"/>
  <c r="G29" i="15" s="1"/>
  <c r="C4" i="15"/>
  <c r="C158" i="14"/>
  <c r="D31" i="7"/>
  <c r="F31" i="7" s="1"/>
  <c r="F34" i="7" s="1"/>
  <c r="F35" i="7" s="1"/>
  <c r="B33" i="7"/>
  <c r="B34" i="7" s="1"/>
  <c r="F61" i="15"/>
  <c r="J61" i="15" s="1"/>
  <c r="F36" i="15"/>
  <c r="F117" i="15"/>
  <c r="C154" i="16"/>
  <c r="C155" i="16" s="1"/>
  <c r="I110" i="16"/>
  <c r="I100" i="4"/>
  <c r="I127" i="4" s="1"/>
  <c r="I59" i="4"/>
  <c r="K36" i="4"/>
  <c r="F64" i="15" l="1"/>
  <c r="J64" i="15" s="1"/>
  <c r="F27" i="15"/>
  <c r="E71" i="15" s="1"/>
  <c r="F71" i="15" s="1"/>
  <c r="F65" i="15"/>
  <c r="J65" i="15" s="1"/>
  <c r="F30" i="15"/>
  <c r="G30" i="15" s="1"/>
  <c r="G31" i="15" s="1"/>
  <c r="F40" i="15"/>
  <c r="G40" i="15" s="1"/>
  <c r="G41" i="15" s="1"/>
  <c r="J66" i="15"/>
  <c r="F118" i="15"/>
  <c r="F37" i="15"/>
  <c r="F62" i="15"/>
  <c r="J62" i="15" s="1"/>
  <c r="J63" i="15" s="1"/>
  <c r="G37" i="15"/>
  <c r="F122" i="15"/>
  <c r="J122" i="15" s="1"/>
  <c r="J118" i="15"/>
  <c r="F121" i="15"/>
  <c r="J121" i="15" s="1"/>
  <c r="J117" i="15"/>
  <c r="G36" i="15"/>
  <c r="I147" i="16"/>
  <c r="I129" i="16"/>
  <c r="I130" i="16" s="1"/>
  <c r="B152" i="16" s="1"/>
  <c r="I40" i="4"/>
  <c r="I41" i="4"/>
  <c r="I45" i="4"/>
  <c r="I39" i="4"/>
  <c r="I38" i="4"/>
  <c r="I44" i="4"/>
  <c r="I43" i="4"/>
  <c r="I42" i="4"/>
  <c r="G38" i="15" l="1"/>
  <c r="E72" i="15" s="1"/>
  <c r="F72" i="15" s="1"/>
  <c r="G72" i="15" s="1"/>
  <c r="I46" i="4"/>
  <c r="I60" i="4" s="1"/>
  <c r="I62" i="4" s="1"/>
  <c r="I124" i="4" s="1"/>
  <c r="I128" i="4" s="1"/>
  <c r="G71" i="15" l="1"/>
  <c r="I104" i="4"/>
  <c r="I105" i="4" l="1"/>
  <c r="I115" i="4" s="1"/>
  <c r="I117" i="4" s="1"/>
  <c r="I109" i="4" l="1"/>
  <c r="I108" i="4"/>
  <c r="I107" i="4"/>
  <c r="I145" i="4" s="1"/>
  <c r="I148" i="4" s="1"/>
  <c r="I119" i="4"/>
  <c r="I110" i="4" l="1"/>
  <c r="I129" i="4" s="1"/>
  <c r="I130" i="4" s="1"/>
  <c r="B152" i="4" s="1"/>
  <c r="I147" i="4" l="1"/>
  <c r="C154" i="4"/>
  <c r="C155" i="4" s="1"/>
  <c r="E159" i="14" l="1"/>
  <c r="E155" i="16"/>
  <c r="E156" i="16" s="1"/>
  <c r="E73" i="15" l="1"/>
  <c r="F73" i="15" s="1"/>
  <c r="G73" i="15" s="1"/>
  <c r="G74" i="15" s="1"/>
</calcChain>
</file>

<file path=xl/sharedStrings.xml><?xml version="1.0" encoding="utf-8"?>
<sst xmlns="http://schemas.openxmlformats.org/spreadsheetml/2006/main" count="1144" uniqueCount="319">
  <si>
    <t xml:space="preserve">Categoria profissional: </t>
  </si>
  <si>
    <t>Discriminação dos Serviços</t>
  </si>
  <si>
    <t>A</t>
  </si>
  <si>
    <t>Data de apresentação da proposta</t>
  </si>
  <si>
    <t>B</t>
  </si>
  <si>
    <t>Município</t>
  </si>
  <si>
    <t>Rio de Janeiro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</si>
  <si>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</si>
  <si>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</si>
  <si>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</si>
  <si>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</si>
  <si>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</si>
  <si>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</si>
  <si>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</si>
  <si>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</si>
  <si>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Limpeza</t>
  </si>
  <si>
    <t>Área (m2)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</si>
  <si>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</si>
  <si>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</si>
  <si>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</si>
  <si>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5143-20</t>
  </si>
  <si>
    <t>Salário Nominativo da Categoria Profissional</t>
  </si>
  <si>
    <t>Categoria profissional (vinculada à execução contratual)</t>
  </si>
  <si>
    <t>Servente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</si>
  <si>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</si>
  <si>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</si>
  <si>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</si>
  <si>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</si>
  <si>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</si>
  <si>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</si>
  <si>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</si>
  <si>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</si>
  <si>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</si>
  <si>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</si>
  <si>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</si>
  <si>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</si>
  <si>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</si>
  <si>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</si>
  <si>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</si>
  <si>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</si>
  <si>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</si>
  <si>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Férias e Adicional de Férias</t>
  </si>
  <si>
    <t>TOTAL SUBMÓDULO 2.1</t>
  </si>
  <si>
    <t>base 2.2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</si>
  <si>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</si>
  <si>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</si>
  <si>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</si>
  <si>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</si>
  <si>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</si>
  <si>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</si>
  <si>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</si>
  <si>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</si>
  <si>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</si>
  <si>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</si>
  <si>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</si>
  <si>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</si>
  <si>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</si>
  <si>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Transporte (Cláusula 22 da CCT)</t>
  </si>
  <si>
    <t>-</t>
  </si>
  <si>
    <t>Auxílio-Refeição/Alimentação  (Cláusula 21 da CCT)</t>
  </si>
  <si>
    <t xml:space="preserve">Assistência Médica e Familiar </t>
  </si>
  <si>
    <t xml:space="preserve">Outros 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</si>
  <si>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</si>
  <si>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</si>
  <si>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</si>
  <si>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</si>
  <si>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</si>
  <si>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</si>
  <si>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</si>
  <si>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</si>
  <si>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</si>
  <si>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</si>
  <si>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</si>
  <si>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</si>
  <si>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</si>
  <si>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</si>
  <si>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</si>
  <si>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</si>
  <si>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</si>
  <si>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</si>
  <si>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</si>
  <si>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</si>
  <si>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</si>
  <si>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</si>
  <si>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</si>
  <si>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</si>
  <si>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</si>
  <si>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</si>
  <si>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</si>
  <si>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</si>
  <si>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</si>
  <si>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</si>
  <si>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</si>
  <si>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</si>
  <si>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</si>
  <si>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</si>
  <si>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</si>
  <si>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</si>
  <si>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</si>
  <si>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</si>
  <si>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</si>
  <si>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</si>
  <si>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>Uniformes (Cláusula 49 da CCT)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</si>
  <si>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</si>
  <si>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</si>
  <si>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</si>
  <si>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</si>
  <si>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</si>
  <si>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</si>
  <si>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</si>
  <si>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</si>
  <si>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</si>
  <si>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</si>
  <si>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</si>
  <si>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</si>
  <si>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</si>
  <si>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</si>
  <si>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</si>
  <si>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</si>
  <si>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</si>
  <si>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</si>
  <si>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</si>
  <si>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</si>
  <si>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</si>
  <si>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</si>
  <si>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</si>
  <si>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</si>
  <si>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</si>
  <si>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</si>
  <si>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</si>
  <si>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</si>
  <si>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</si>
  <si>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</si>
  <si>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</si>
  <si>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</si>
  <si>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</si>
  <si>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</si>
  <si>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</si>
  <si>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</si>
  <si>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</si>
  <si>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</si>
  <si>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</si>
  <si>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</si>
  <si>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</si>
  <si>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</si>
  <si>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</si>
  <si>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</si>
  <si>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</si>
  <si>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</si>
  <si>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</si>
  <si>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</si>
  <si>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FATOR K</t>
  </si>
  <si>
    <t>PREÇO MENSAL</t>
  </si>
  <si>
    <t>PREÇO GLOBAL</t>
  </si>
  <si>
    <t>Quantidade apurada</t>
  </si>
  <si>
    <t>Benefício Social Familiar (Cláusula 28 da CCT)</t>
  </si>
  <si>
    <t>Contribuição Assistencial Patronal (Cláusula 58 da CCT)</t>
  </si>
  <si>
    <t>Volta Redonda</t>
  </si>
  <si>
    <t>2019/2020</t>
  </si>
  <si>
    <t>Aux. Serv. Gerais - Área Interna</t>
  </si>
  <si>
    <t>Materiais e Equipamentos</t>
  </si>
  <si>
    <t>Gratificação - Líder de turma</t>
  </si>
  <si>
    <t>AUXILIAR DE SERVIÇOS GERAIS - LIDER DE TURMA</t>
  </si>
  <si>
    <t>CUSTO POR AUXILIAR DE SERVIÇOS GERAIS:</t>
  </si>
  <si>
    <t>ÁREA INTERNA</t>
  </si>
  <si>
    <t>ÁREA EXTERNA</t>
  </si>
  <si>
    <t>ESQUADRIAS E VIDROS</t>
  </si>
  <si>
    <t>TOTAL MENSA:</t>
  </si>
  <si>
    <t>TOTAL ANUAL:</t>
  </si>
  <si>
    <t>CUSTO DO M²:</t>
  </si>
  <si>
    <t>CUSTO DO M² CONSIDERANDO A TOTALIDADE DA ÁREA (4.633,7 M²)</t>
  </si>
  <si>
    <t>CUSTO TOTAL DOS EMPREGADOS</t>
  </si>
  <si>
    <t>ÁREA (M²)</t>
  </si>
  <si>
    <t>CUSTO DO M²</t>
  </si>
  <si>
    <t>VALOR A SER ACRESCIDO POR EMPREGADO EM RAZÃO DA GRATIFICAÇÃO DO LÍDER DE EQUIPE, PROPORCIONALMENTE, CONFORME O NUMERO TOTAL DE EMPREGADOS</t>
  </si>
  <si>
    <t>DEVERÁ CONSIDERAR O VALOR DE CADA PROFISSIONAL, E A RESPECTIVA PROPORÇÃO EM RELAÇÃO AO LÍDER DE EQUIPE</t>
  </si>
  <si>
    <t>CUSTO DO M² CONSIDERANDO DE CADA ÁREA (INTERNA, EXTERNA E ESQUADRIAS)</t>
  </si>
  <si>
    <t>CUSTO POR AUXILIAR DE SERVIÇOS GERAIS LÍDER DE TURMA:</t>
  </si>
  <si>
    <t>CUSTO TOTAL MENSAL (TOTAL DE EMPREGADOS SENDO UM DELES LIDER DE TURMA):</t>
  </si>
  <si>
    <t>cusco total da area por mês conforme 2 turnos</t>
  </si>
  <si>
    <t>(A)                                                      PRODUTIVIDADE   (1/M²)</t>
  </si>
  <si>
    <t>TIPO DE SERVIÇO                                             MÃO DE OBRA</t>
  </si>
  <si>
    <t>(B)                                       PREÇO HOME-MÊS                                             (R$)</t>
  </si>
  <si>
    <t>MÍNIMA</t>
  </si>
  <si>
    <t>MÁXIMA</t>
  </si>
  <si>
    <t>ENCARREGADO</t>
  </si>
  <si>
    <t>VALOR TOTAL POR EMPREGADO</t>
  </si>
  <si>
    <t>AUX. DE SERVIÇOS GERAIS</t>
  </si>
  <si>
    <t>AUX. DE SERVIÇOS GERAIS LÍDER DE TRURMA</t>
  </si>
  <si>
    <t>TOTAL CONSIDERANDO A PRODUTIVIDADE MÍNIMA</t>
  </si>
  <si>
    <t>TOTAL CONSIDERANDO A PRODUTIVIDADE MÁXIMA</t>
  </si>
  <si>
    <t>NÚMERO DE MESES NO ANO:</t>
  </si>
  <si>
    <t>NÚMERO DE DIAS POR MÊS:</t>
  </si>
  <si>
    <t>NÚMERO DE SEMANAS NO MÊS (30/7):</t>
  </si>
  <si>
    <t>PERIODICIDADE:</t>
  </si>
  <si>
    <t>DIÁRIA</t>
  </si>
  <si>
    <t>METRAGEM TOTAL (M²):</t>
  </si>
  <si>
    <t>PARA ÁREA INTERNA E ÁREA EXTERNA, TODOS OS CARGOS</t>
  </si>
  <si>
    <t>TURNO</t>
  </si>
  <si>
    <t>PARA ESQUADRIAS, TODOS OS CARGOS</t>
  </si>
  <si>
    <t>15 DIAS</t>
  </si>
  <si>
    <t>NÚMERO DE DIAS NO ANO:</t>
  </si>
  <si>
    <t>NÚMERO DE HORAS SEMANAIS (JORNADA):</t>
  </si>
  <si>
    <t>ESQUADRIAS</t>
  </si>
  <si>
    <t>METRAGEM CONFORME PRODUTIVIDADE INFORMADA ALÍNEAS "B" E "C" DO ITEM 3.3 DO ANEXO VI-B DA INSTRUÇÃO NORMATIVA Nº 5, DE 25 DE MAIO DE 2017                                                         (M²)</t>
  </si>
  <si>
    <t xml:space="preserve"> (C)                                     FREQÜÊNCIA
NO MÊS
(HORAS)</t>
  </si>
  <si>
    <t>(D)                                                       JORNADA DE TRABALHO NO MÊS (HORAS)</t>
  </si>
  <si>
    <t>(E)                                                      ki****                                       (A x B x C)</t>
  </si>
  <si>
    <t xml:space="preserve">   (R$/M²)                                             SUBTOTAL                                                        (E x B)                                           </t>
  </si>
  <si>
    <t>(C)                                               SUBTOTAL                                               (R$/M²)</t>
  </si>
  <si>
    <t>METRAGEM TOTAL DA ÁREA INTERNA (M²):</t>
  </si>
  <si>
    <t>METRAGEM TOTAL DA ÁREA EXTERNA (M²):</t>
  </si>
  <si>
    <t>TIPO DE ÁREA</t>
  </si>
  <si>
    <t>ÁREA TOTAL</t>
  </si>
  <si>
    <t>PREÇO ESTIMADO</t>
  </si>
  <si>
    <t>PREÇO MENSAL UNITÁRIO                    (R$/M²)</t>
  </si>
  <si>
    <t>SUBTOTAL (R$)</t>
  </si>
  <si>
    <t>TOTAL (R$)</t>
  </si>
  <si>
    <t>ÁREA DE ESQUADRIAS</t>
  </si>
  <si>
    <t>MENSAL:</t>
  </si>
  <si>
    <t>AUX. DE SERVIÇOS GERAIS / SERVENTE</t>
  </si>
  <si>
    <t>Auxiliar de Serviços Gerais / Servente</t>
  </si>
  <si>
    <t>A empresa poderá adotar índices de produtividade superiores, dependendo dos seus processos de execução dos serviços, no entanto essa alteração resultará na redução do valor do preço mensal máximo por área e consequentemente na alocação de menos funcionários (serventes, líderes de turma ou encarregados) para realização dos serviços. No entanto o aumento de produtividade por parte da empresa não poderá afetar a qualidade dos serviços prestados.</t>
  </si>
  <si>
    <t>Para obtenção do número de colaboradores a serem utilizados nos serviços, deverá ser feita a divisão da área pela respectiva produtividade, sendo o valor arredondado sempre para o próximo número inteiro (maior). Tal arredondamento deverá ser feito por turno de trabalho, quando aplicável.</t>
  </si>
  <si>
    <t>Tipo de área</t>
  </si>
  <si>
    <t>Área (m²)</t>
  </si>
  <si>
    <t>Área interna (dois turnos de serviço)</t>
  </si>
  <si>
    <t>Área externa (dois turnos de serviço)</t>
  </si>
  <si>
    <t>Esquadrias e vidros (um turno de serviço)</t>
  </si>
  <si>
    <t>Quantidade de empregados/colaboradores sem considerar o turno</t>
  </si>
  <si>
    <t>Quantidade de empregados/colaboradores considerando os turnos</t>
  </si>
  <si>
    <t xml:space="preserve">Os índices de produtividade mínima para execução dos serviços de limpeza, asseio e conservação são estipulados conforme planilha acima, tendo por referência o disposto na Instrução Normativa nº 05, de 25 de maio de 2017, do Ministério do Planejamento, Desenvolvimento e Gestão (MPDG). Para identificar o número de profissionais a serem utilizados nos serviços, foi feita a divisão da área pela respectiva produtividade. </t>
  </si>
  <si>
    <t>INSS (Art. 22, Inciso I, da Lei nº 8.212/91)</t>
  </si>
  <si>
    <t>Salário Educação  (Art. 3º, Inciso I, Decreto n.º 87.043/82)</t>
  </si>
  <si>
    <t>Outros</t>
  </si>
  <si>
    <t>Uniformes</t>
  </si>
  <si>
    <t>Salário Base (Cláusula 03, parágrafo primeiro, item 72, da CCT)</t>
  </si>
  <si>
    <t>Líder de Turma</t>
  </si>
  <si>
    <t>Adicional Periculosidade (Art. 193 CLT)</t>
  </si>
  <si>
    <r>
      <t xml:space="preserve">AUX. DE SERVIÇOS GERAIS / SERVENTE </t>
    </r>
    <r>
      <rPr>
        <b/>
        <sz val="10"/>
        <rFont val="Arial"/>
        <family val="2"/>
      </rPr>
      <t>LÍDER DE TURMA</t>
    </r>
  </si>
  <si>
    <t>Produtividade mínima por colaborador conforme IN 05/2017                       (m²)</t>
  </si>
  <si>
    <r>
      <rPr>
        <sz val="10"/>
        <rFont val="Arial"/>
        <family val="2"/>
      </rPr>
      <t>AUX. DE SERVIÇOS GERAIS/SERVENTE</t>
    </r>
    <r>
      <rPr>
        <b/>
        <sz val="10"/>
        <rFont val="Arial"/>
        <family val="2"/>
      </rPr>
      <t xml:space="preserve"> LÍDER DE TURMA</t>
    </r>
  </si>
  <si>
    <t>AUX. DE SERVIÇOS GERAIS/SERVENTE</t>
  </si>
  <si>
    <t>NÚMERO DE DIAS DE TRABALHO POR ANO:</t>
  </si>
  <si>
    <t>(B)                                       PREÇO HOMEM-MÊS                                             (R$)</t>
  </si>
  <si>
    <t>COFINS (Art. 2º da Lei nº 10.833/03)</t>
  </si>
  <si>
    <t>PIS (Art. 2º da Lei nº 10.637/02)</t>
  </si>
  <si>
    <t>Multa do FGTS sobre o Aviso Prévio Indenizado</t>
  </si>
  <si>
    <t xml:space="preserve">Multa do FGTS sobre o Aviso Prévio Trabalhado. </t>
  </si>
  <si>
    <t>Salário Base (Cláusula 03, parágrafo primeiro, item 11, da CCT)</t>
  </si>
  <si>
    <r>
      <t>Multa do FGTS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sobre o Aviso Prévio Trabalhado</t>
    </r>
  </si>
  <si>
    <t>Incidência de GPS, FGTS e outras contribuições sobre o custo de reposição do profissional ausente</t>
  </si>
  <si>
    <t>4.3</t>
  </si>
  <si>
    <t>CONVENÇÃO COLETIVA DE TRABALHO 2025/2026                                                      NÚMERO DE REGISTRO NO MTE: RJ001424/2025                                                  DATA DE REGISTRO NO MTE: 04/06/2025                                                       NÚMERO DA SOLICITAÇÃO: MR021722/2025                                                                    NÚMERO DO PROCESSO: 47997.268886/2025-41                                                           DATA DO PROTOCOLO: 27/05/2025</t>
  </si>
  <si>
    <t>ORÇAMENTO ESTIMADO</t>
  </si>
  <si>
    <t>2025/2026</t>
  </si>
  <si>
    <t>Gratificação - Líder de turma (Cláusula 14 da CCT)</t>
  </si>
  <si>
    <t>Adicional Noturno (Cláusula 16 da CCT)</t>
  </si>
  <si>
    <t>Adicional Insalubridade (Cláusula 17 da CCT)</t>
  </si>
  <si>
    <t>CONVENÇÃO COLETIVA DE TRABALHO 2025/2026                                                      NÚMERO DE REGISTRO NO MTE: RJ001424/2025                                                  DATA DE REGISTRO NO MTE: 04/06/2025                                                       NÚMERO DA SOLICITAÇÃO: MR021722/2025                                                                      NÚMERO DO PROCESSO: 47997.268886/2025-41                                                           DATA DO PROTOCOLO: 27/05/2025</t>
  </si>
  <si>
    <t>13 (Décimo-terceiro) salário (Cláusula 12 da CCT)</t>
  </si>
  <si>
    <t>Salário Educação (Art. 3º, Inciso I, Decreto n.º 87.043/82)</t>
  </si>
  <si>
    <t>SAT (Seguro Acidente de Trabalho) (Regulamento da Previdência Social e o Decreto nº 6.957/2009)</t>
  </si>
  <si>
    <t>SESC ou SESI (Art. 30 da Lei n° 8.036/90, art. 240 da Constituição Federal)</t>
  </si>
  <si>
    <t>SENAI - SENAC (Decreto-Lei n° 2.318/86)</t>
  </si>
  <si>
    <t>INCRA (Art. 1°, inciso I do Decreto-Lei n° 1.146/1970, Lei Complementar nº 11/71)</t>
  </si>
  <si>
    <t>FGTS (Art. 15, Lei nº 8.036/90 e Art. 7º, III, CF)</t>
  </si>
  <si>
    <t>FGTS  (Art. 15, Lei nº 8.036/90 e Art. 7º, III, CF)</t>
  </si>
  <si>
    <t>SEBRAE (Lei n° 8.029/90, alterado pela Lei n° 8.154/90)</t>
  </si>
  <si>
    <t>DESCONTO 50% - SÓCIO SEAC/RJ</t>
  </si>
  <si>
    <t>PERCENTUAL CONFORME ACÓRDÃO 1186/2017 TCU</t>
  </si>
  <si>
    <t xml:space="preserve">Férias </t>
  </si>
  <si>
    <t>Adicional de Férias</t>
  </si>
  <si>
    <t>Gratificação - Líder de turma (Cláusula 14 da CCT) SOBRE PISO SERVENTE - R$ 1.730,75</t>
  </si>
  <si>
    <t>Transporte (Cláusula 21 da CCT) DESCONTA 6% SOBRE SALÁRIO BASE</t>
  </si>
  <si>
    <t xml:space="preserve">Aviso Prévio Trabalhado  ACÓRDÃO 1186/2017 TCU </t>
  </si>
  <si>
    <r>
      <t>SAT (Seguro Acidente de Trabalho)</t>
    </r>
    <r>
      <rPr>
        <sz val="9"/>
        <rFont val="Arial"/>
        <family val="2"/>
      </rPr>
      <t xml:space="preserve"> (Regulamento da Previdência Social e Decreto nº 6.957/2009)</t>
    </r>
  </si>
  <si>
    <t>Multa do FGTS sobre o Aviso Prévio Indenizado (Art.12 da Lei nº 13.932/19 extinguiu CS)</t>
  </si>
  <si>
    <t>Substituto na cobertura de Ausências por Doença</t>
  </si>
  <si>
    <t>Substituto na cobertura de Ausências Legais (Art. 473 da CLT)</t>
  </si>
  <si>
    <t>COFINS (Art. 2º da Lei nº 10.833/2003)</t>
  </si>
  <si>
    <t>Auxílio-Refeição/Alimentação (Cláusula 20 da CCT) DESCONTA 10% SOBRE TOTAL DO BENEFÍCIO</t>
  </si>
  <si>
    <t>* BASE DE CÁLCULO SUBMÓDULO 2.2 (TOTAL DO MÓDULO 1 + TOTAL DO SUBMÓDULO 2.1)</t>
  </si>
  <si>
    <t>* BASE DE CÁLCULO MÓDULO 3 (TOTAL DO MÓDULO 1)</t>
  </si>
  <si>
    <t>* BASE DE CÁLCULO MÓDULO 4 (TOTAL DO MÓDULO 1)</t>
  </si>
  <si>
    <t>PIS (Art. 2º da Lei nº 10.637/2002)</t>
  </si>
  <si>
    <t>CUSTOS INDIRETOS, TRIBUTOS E LUCRO (BASEADO NO LUCRO REAL)</t>
  </si>
  <si>
    <t>4.4</t>
  </si>
  <si>
    <t xml:space="preserve">AUXILIAR DE SERVIÇOS GERAIS / SERVENTE </t>
  </si>
  <si>
    <t>Benefício Social Familiar (Cláusula 24 da CCT) PAGO MENSALMENTE</t>
  </si>
  <si>
    <t>Contribuição Negocial Patronal (Cláusula 60 da CCT) R$ 45,00/12 PAGA UMA ÚNICA VEZ</t>
  </si>
  <si>
    <t xml:space="preserve">Proporcional de Férias, 1/3 e 13º sobre Custo de Reposição </t>
  </si>
  <si>
    <t>(Total dos Módulos 1, 2, 3, 4 e 5+ Custos Indiretos + Lucro) = Po = ...................................</t>
  </si>
  <si>
    <t>NÚMERO DE DIAS NA SEMANA:</t>
  </si>
  <si>
    <t>(E)                                                      ki****                                       (A x C x D)</t>
  </si>
  <si>
    <r>
      <t>AUX. DE SERVIÇOS GERAIS / SERVENTE</t>
    </r>
    <r>
      <rPr>
        <b/>
        <sz val="10"/>
        <rFont val="Arial"/>
        <family val="2"/>
      </rPr>
      <t xml:space="preserve"> LÍDER DE TURMA</t>
    </r>
  </si>
  <si>
    <t>NÚMERO DE HORAS NO MÊS (SEMANAS NO MÊS X JORNADA):</t>
  </si>
  <si>
    <t xml:space="preserve"> (R$/M²)                                             SUBTOTAL                                                        (E x B)                                           </t>
  </si>
  <si>
    <t>NÚMERO DE HORAS NO SEMESTRE (6 X 188,76):</t>
  </si>
  <si>
    <t>NÚMERO DE HORAS NO SEMESTRE (6 X 17,60):</t>
  </si>
  <si>
    <t>NÚMERO DE HORAS NO MÊS: (44/5=8,80horasx02dias=17,60)</t>
  </si>
  <si>
    <t xml:space="preserve"> (C)                                     FREQUÊNCIA
QUINZENAL
(HORAS)</t>
  </si>
  <si>
    <t>(D)                                                       JORNADA DE TRABALHO NO MÊS (HORAS)                                           (1/188,76)</t>
  </si>
  <si>
    <t>METRAGEM CONFORME PRODUTIVIDADE                                                     (M²)</t>
  </si>
  <si>
    <t>METRAGEM CONFORME PRODUTIVIDADE                                                  (M²)</t>
  </si>
  <si>
    <t>METRAGEM CONFORME PRODUTIVIDADE                                               (M²)</t>
  </si>
  <si>
    <t>PRODUTIVIDADE</t>
  </si>
  <si>
    <t xml:space="preserve">TOTAL </t>
  </si>
  <si>
    <t>Deverá ser adotada como índice máximo de produtividade a relação de 01 (um) encarregado (Cláusula 13ª do CCT) para cada 30 (trinta) colaboradores, e/ou 1 (um) líder de turma (Cláusula 14º do CCT) para cada 15 (quinze) colaboradores.</t>
  </si>
  <si>
    <r>
      <t xml:space="preserve">Conforme planilha acima, mesmo considerando o dobro do número de colaboradores para as áreas com dois turnos, o número máximo de colaboradores não ultrapassa 15. Sendo assim, a planilha orçamentária foi elaborada considerando o custo do </t>
    </r>
    <r>
      <rPr>
        <b/>
        <u/>
        <sz val="10"/>
        <rFont val="Arial"/>
        <family val="2"/>
      </rPr>
      <t>servente/auxiliar de serviços gerais</t>
    </r>
    <r>
      <rPr>
        <b/>
        <sz val="10"/>
        <rFont val="Arial"/>
        <family val="2"/>
      </rPr>
      <t xml:space="preserve"> e do </t>
    </r>
    <r>
      <rPr>
        <b/>
        <u/>
        <sz val="10"/>
        <rFont val="Arial"/>
        <family val="2"/>
      </rPr>
      <t>servente/auxiliar de serviços gerais líder de turma</t>
    </r>
    <r>
      <rPr>
        <b/>
        <sz val="10"/>
        <rFont val="Arial"/>
        <family val="2"/>
      </rPr>
      <t>.</t>
    </r>
  </si>
  <si>
    <t>24 MESES</t>
  </si>
  <si>
    <t>(Total dos Módulos 1, 2, 3, 4 e 5 + Custos Indiretos + Lucro) = Po = ...................................</t>
  </si>
  <si>
    <t>AUXILIAR DE SERVIÇOS GERAIS / SERVENTE - LÍDER DE TURMA</t>
  </si>
  <si>
    <t>PRODUTIVIDADE MÍNIMA PARA ÁREA INTERNA:</t>
  </si>
  <si>
    <t>PRODUTIVIDADE MÁXIMA PARA ÁREA INTERNA:</t>
  </si>
  <si>
    <t>PRODUTIVIDADE MÁXIMA PARA ÁREA EXTERNA:</t>
  </si>
  <si>
    <t>PRODUTIVIDADE MÍNIMA PARA ESQUADRIAS:</t>
  </si>
  <si>
    <t>PRODUTIVIDADE MÁXIMA PARA ESQUADRIAS:</t>
  </si>
  <si>
    <t>TOTAL DE COLABORADORES (R$5.267,12), SENDO UM LÍDER DE TURMA (R$5.974,82).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</si>
</sst>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0.000%"/>
    <numFmt numFmtId="167" formatCode="0.0000%"/>
    <numFmt numFmtId="168" formatCode="0.0%"/>
    <numFmt numFmtId="169" formatCode="&quot;R$&quot;\ #,##0.00"/>
  </numFmts>
  <fonts count="20">
    <font>
      <sz val="10"/>
      <name val="Arial"/>
      <charset val="134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22"/>
      <name val="Arial"/>
      <family val="2"/>
    </font>
    <font>
      <b/>
      <u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9" fontId="3" fillId="0" borderId="0" applyFill="0" applyBorder="0" applyAlignment="0" applyProtection="0"/>
    <xf numFmtId="165" fontId="3" fillId="0" borderId="0" applyFill="0" applyBorder="0" applyAlignment="0" applyProtection="0"/>
  </cellStyleXfs>
  <cellXfs count="397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0" fontId="3" fillId="0" borderId="1" xfId="1" applyNumberFormat="1" applyBorder="1" applyAlignment="1">
      <alignment horizontal="center"/>
    </xf>
    <xf numFmtId="10" fontId="3" fillId="0" borderId="1" xfId="1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10" fontId="0" fillId="0" borderId="1" xfId="0" applyNumberFormat="1" applyBorder="1" applyAlignment="1">
      <alignment horizontal="center"/>
    </xf>
    <xf numFmtId="10" fontId="0" fillId="5" borderId="1" xfId="0" applyNumberForma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2" fontId="0" fillId="0" borderId="1" xfId="0" applyNumberFormat="1" applyBorder="1"/>
    <xf numFmtId="2" fontId="2" fillId="0" borderId="1" xfId="0" applyNumberFormat="1" applyFont="1" applyBorder="1"/>
    <xf numFmtId="2" fontId="2" fillId="0" borderId="0" xfId="0" applyNumberFormat="1" applyFont="1"/>
    <xf numFmtId="0" fontId="2" fillId="0" borderId="0" xfId="0" applyFont="1"/>
    <xf numFmtId="2" fontId="0" fillId="0" borderId="1" xfId="0" applyNumberFormat="1" applyBorder="1" applyAlignment="1">
      <alignment horizontal="right"/>
    </xf>
    <xf numFmtId="167" fontId="0" fillId="0" borderId="1" xfId="0" applyNumberFormat="1" applyBorder="1" applyAlignment="1">
      <alignment horizontal="center"/>
    </xf>
    <xf numFmtId="9" fontId="0" fillId="0" borderId="1" xfId="0" applyNumberFormat="1" applyBorder="1"/>
    <xf numFmtId="10" fontId="0" fillId="0" borderId="1" xfId="0" applyNumberFormat="1" applyBorder="1"/>
    <xf numFmtId="10" fontId="3" fillId="0" borderId="1" xfId="1" applyNumberFormat="1" applyBorder="1" applyAlignment="1"/>
    <xf numFmtId="0" fontId="5" fillId="0" borderId="2" xfId="0" applyFont="1" applyBorder="1" applyAlignment="1">
      <alignment horizontal="center"/>
    </xf>
    <xf numFmtId="10" fontId="5" fillId="0" borderId="3" xfId="1" applyNumberFormat="1" applyFont="1" applyBorder="1" applyAlignment="1"/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left"/>
    </xf>
    <xf numFmtId="10" fontId="5" fillId="0" borderId="0" xfId="1" applyNumberFormat="1" applyFont="1" applyBorder="1" applyAlignment="1"/>
    <xf numFmtId="0" fontId="4" fillId="0" borderId="13" xfId="0" applyFont="1" applyBorder="1"/>
    <xf numFmtId="0" fontId="5" fillId="0" borderId="14" xfId="0" applyFont="1" applyBorder="1" applyAlignment="1">
      <alignment horizontal="center"/>
    </xf>
    <xf numFmtId="10" fontId="5" fillId="0" borderId="12" xfId="1" applyNumberFormat="1" applyFont="1" applyBorder="1" applyAlignment="1"/>
    <xf numFmtId="2" fontId="0" fillId="0" borderId="0" xfId="0" applyNumberFormat="1"/>
    <xf numFmtId="2" fontId="0" fillId="0" borderId="1" xfId="0" applyNumberFormat="1" applyBorder="1" applyAlignment="1">
      <alignment horizontal="center"/>
    </xf>
    <xf numFmtId="2" fontId="5" fillId="0" borderId="4" xfId="0" applyNumberFormat="1" applyFont="1" applyBorder="1"/>
    <xf numFmtId="2" fontId="5" fillId="0" borderId="15" xfId="0" applyNumberFormat="1" applyFont="1" applyBorder="1"/>
    <xf numFmtId="2" fontId="5" fillId="0" borderId="16" xfId="0" applyNumberFormat="1" applyFont="1" applyBorder="1"/>
    <xf numFmtId="165" fontId="2" fillId="0" borderId="0" xfId="2" applyFont="1"/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0" fillId="0" borderId="24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8" xfId="0" applyBorder="1"/>
    <xf numFmtId="0" fontId="0" fillId="0" borderId="30" xfId="0" applyBorder="1"/>
    <xf numFmtId="0" fontId="2" fillId="0" borderId="8" xfId="0" applyFont="1" applyBorder="1"/>
    <xf numFmtId="0" fontId="2" fillId="0" borderId="30" xfId="0" applyFont="1" applyBorder="1"/>
    <xf numFmtId="0" fontId="0" fillId="0" borderId="34" xfId="0" applyBorder="1"/>
    <xf numFmtId="0" fontId="0" fillId="0" borderId="35" xfId="0" applyBorder="1"/>
    <xf numFmtId="0" fontId="0" fillId="0" borderId="39" xfId="0" applyBorder="1" applyAlignment="1">
      <alignment horizontal="center"/>
    </xf>
    <xf numFmtId="0" fontId="0" fillId="0" borderId="28" xfId="0" applyBorder="1" applyAlignment="1">
      <alignment horizontal="center"/>
    </xf>
    <xf numFmtId="43" fontId="0" fillId="0" borderId="0" xfId="0" applyNumberFormat="1"/>
    <xf numFmtId="165" fontId="0" fillId="0" borderId="0" xfId="0" applyNumberFormat="1"/>
    <xf numFmtId="0" fontId="2" fillId="0" borderId="20" xfId="0" applyFont="1" applyBorder="1" applyAlignment="1">
      <alignment horizontal="center"/>
    </xf>
    <xf numFmtId="2" fontId="0" fillId="0" borderId="45" xfId="0" applyNumberFormat="1" applyBorder="1"/>
    <xf numFmtId="2" fontId="0" fillId="0" borderId="46" xfId="0" applyNumberFormat="1" applyBorder="1"/>
    <xf numFmtId="2" fontId="0" fillId="0" borderId="47" xfId="0" applyNumberFormat="1" applyBorder="1"/>
    <xf numFmtId="2" fontId="2" fillId="0" borderId="48" xfId="0" applyNumberFormat="1" applyFont="1" applyBorder="1"/>
    <xf numFmtId="2" fontId="0" fillId="0" borderId="25" xfId="0" applyNumberFormat="1" applyBorder="1"/>
    <xf numFmtId="2" fontId="0" fillId="0" borderId="29" xfId="0" applyNumberFormat="1" applyBorder="1"/>
    <xf numFmtId="168" fontId="3" fillId="0" borderId="1" xfId="1" applyNumberFormat="1" applyBorder="1" applyAlignment="1"/>
    <xf numFmtId="9" fontId="3" fillId="0" borderId="1" xfId="1" applyBorder="1" applyAlignment="1"/>
    <xf numFmtId="0" fontId="7" fillId="0" borderId="1" xfId="0" applyFont="1" applyBorder="1" applyAlignment="1">
      <alignment horizontal="center"/>
    </xf>
    <xf numFmtId="10" fontId="8" fillId="5" borderId="1" xfId="0" applyNumberFormat="1" applyFont="1" applyFill="1" applyBorder="1" applyAlignment="1">
      <alignment horizontal="center"/>
    </xf>
    <xf numFmtId="2" fontId="8" fillId="0" borderId="1" xfId="0" applyNumberFormat="1" applyFont="1" applyBorder="1"/>
    <xf numFmtId="0" fontId="10" fillId="0" borderId="0" xfId="0" applyFont="1"/>
    <xf numFmtId="169" fontId="10" fillId="0" borderId="15" xfId="0" applyNumberFormat="1" applyFont="1" applyBorder="1"/>
    <xf numFmtId="0" fontId="10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9" fontId="10" fillId="0" borderId="15" xfId="0" applyNumberFormat="1" applyFont="1" applyBorder="1" applyAlignment="1">
      <alignment horizontal="left" vertical="center"/>
    </xf>
    <xf numFmtId="169" fontId="10" fillId="0" borderId="15" xfId="0" applyNumberFormat="1" applyFont="1" applyBorder="1" applyAlignment="1">
      <alignment horizontal="left"/>
    </xf>
    <xf numFmtId="0" fontId="9" fillId="0" borderId="5" xfId="0" applyFont="1" applyBorder="1" applyAlignment="1">
      <alignment horizontal="left" vertical="center" wrapText="1"/>
    </xf>
    <xf numFmtId="169" fontId="0" fillId="0" borderId="1" xfId="0" applyNumberFormat="1" applyBorder="1" applyAlignment="1">
      <alignment horizontal="center" vertical="center"/>
    </xf>
    <xf numFmtId="0" fontId="10" fillId="0" borderId="8" xfId="0" applyFont="1" applyBorder="1"/>
    <xf numFmtId="169" fontId="10" fillId="0" borderId="6" xfId="0" applyNumberFormat="1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/>
    </xf>
    <xf numFmtId="0" fontId="10" fillId="0" borderId="49" xfId="0" applyFont="1" applyBorder="1"/>
    <xf numFmtId="0" fontId="10" fillId="0" borderId="26" xfId="0" applyFont="1" applyBorder="1"/>
    <xf numFmtId="169" fontId="10" fillId="0" borderId="42" xfId="0" applyNumberFormat="1" applyFont="1" applyBorder="1" applyAlignment="1">
      <alignment horizontal="left"/>
    </xf>
    <xf numFmtId="0" fontId="10" fillId="0" borderId="7" xfId="0" applyFont="1" applyBorder="1"/>
    <xf numFmtId="0" fontId="10" fillId="0" borderId="10" xfId="0" applyFont="1" applyBorder="1"/>
    <xf numFmtId="0" fontId="10" fillId="0" borderId="36" xfId="0" applyFont="1" applyBorder="1"/>
    <xf numFmtId="0" fontId="10" fillId="0" borderId="37" xfId="0" applyFont="1" applyBorder="1"/>
    <xf numFmtId="169" fontId="10" fillId="0" borderId="38" xfId="0" applyNumberFormat="1" applyFont="1" applyBorder="1" applyAlignment="1">
      <alignment horizontal="left"/>
    </xf>
    <xf numFmtId="0" fontId="2" fillId="0" borderId="2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69" fontId="10" fillId="0" borderId="42" xfId="0" applyNumberFormat="1" applyFont="1" applyBorder="1" applyAlignment="1">
      <alignment horizontal="left" vertical="center"/>
    </xf>
    <xf numFmtId="0" fontId="10" fillId="0" borderId="7" xfId="0" applyFont="1" applyBorder="1" applyAlignment="1">
      <alignment wrapText="1"/>
    </xf>
    <xf numFmtId="169" fontId="10" fillId="0" borderId="38" xfId="0" applyNumberFormat="1" applyFont="1" applyBorder="1"/>
    <xf numFmtId="0" fontId="10" fillId="0" borderId="0" xfId="0" applyFont="1" applyAlignment="1">
      <alignment horizontal="center"/>
    </xf>
    <xf numFmtId="0" fontId="2" fillId="0" borderId="53" xfId="0" applyFont="1" applyBorder="1" applyAlignment="1">
      <alignment horizontal="center" vertical="center" wrapText="1"/>
    </xf>
    <xf numFmtId="0" fontId="9" fillId="0" borderId="10" xfId="0" applyFont="1" applyBorder="1"/>
    <xf numFmtId="0" fontId="10" fillId="0" borderId="28" xfId="0" applyFont="1" applyBorder="1" applyAlignment="1">
      <alignment horizontal="left" vertical="center"/>
    </xf>
    <xf numFmtId="0" fontId="11" fillId="0" borderId="55" xfId="0" applyFont="1" applyBorder="1" applyAlignment="1">
      <alignment horizontal="left" vertical="center"/>
    </xf>
    <xf numFmtId="0" fontId="10" fillId="0" borderId="57" xfId="0" applyFont="1" applyBorder="1" applyAlignment="1">
      <alignment horizontal="left" vertical="center"/>
    </xf>
    <xf numFmtId="169" fontId="10" fillId="0" borderId="58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left" vertical="center"/>
    </xf>
    <xf numFmtId="169" fontId="11" fillId="0" borderId="23" xfId="0" applyNumberFormat="1" applyFont="1" applyBorder="1" applyAlignment="1">
      <alignment horizontal="left" vertical="center"/>
    </xf>
    <xf numFmtId="169" fontId="11" fillId="0" borderId="33" xfId="0" applyNumberFormat="1" applyFont="1" applyBorder="1" applyAlignment="1">
      <alignment horizontal="left" vertical="center"/>
    </xf>
    <xf numFmtId="0" fontId="10" fillId="0" borderId="0" xfId="0" applyFont="1" applyAlignment="1">
      <alignment horizontal="right" vertical="center" wrapText="1"/>
    </xf>
    <xf numFmtId="169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169" fontId="0" fillId="0" borderId="0" xfId="0" applyNumberFormat="1" applyAlignment="1">
      <alignment horizontal="righ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2" fontId="0" fillId="0" borderId="23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2" fontId="0" fillId="0" borderId="1" xfId="0" applyNumberFormat="1" applyBorder="1" applyAlignment="1">
      <alignment horizontal="center" vertical="center" wrapText="1"/>
    </xf>
    <xf numFmtId="169" fontId="0" fillId="0" borderId="53" xfId="0" applyNumberFormat="1" applyBorder="1" applyAlignment="1">
      <alignment horizontal="center" vertical="center" wrapText="1"/>
    </xf>
    <xf numFmtId="169" fontId="0" fillId="0" borderId="1" xfId="0" applyNumberFormat="1" applyBorder="1" applyAlignment="1">
      <alignment horizontal="center" vertical="center" wrapText="1"/>
    </xf>
    <xf numFmtId="2" fontId="0" fillId="0" borderId="53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69" fontId="0" fillId="0" borderId="21" xfId="0" applyNumberForma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2" fontId="0" fillId="0" borderId="25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169" fontId="0" fillId="0" borderId="29" xfId="0" applyNumberForma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169" fontId="0" fillId="0" borderId="54" xfId="0" applyNumberForma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9" fontId="0" fillId="5" borderId="1" xfId="0" applyNumberForma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 wrapText="1"/>
    </xf>
    <xf numFmtId="0" fontId="0" fillId="5" borderId="0" xfId="0" applyFill="1" applyAlignment="1">
      <alignment wrapText="1"/>
    </xf>
    <xf numFmtId="169" fontId="0" fillId="5" borderId="33" xfId="0" applyNumberFormat="1" applyFill="1" applyBorder="1" applyAlignment="1">
      <alignment horizontal="center" vertical="center" wrapText="1"/>
    </xf>
    <xf numFmtId="0" fontId="0" fillId="5" borderId="53" xfId="0" applyFill="1" applyBorder="1" applyAlignment="1">
      <alignment horizontal="center" vertical="center" wrapText="1"/>
    </xf>
    <xf numFmtId="2" fontId="0" fillId="5" borderId="53" xfId="0" applyNumberFormat="1" applyFill="1" applyBorder="1" applyAlignment="1">
      <alignment horizontal="center" vertical="center" wrapText="1"/>
    </xf>
    <xf numFmtId="2" fontId="0" fillId="5" borderId="23" xfId="0" applyNumberFormat="1" applyFill="1" applyBorder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2" fillId="5" borderId="61" xfId="0" applyFont="1" applyFill="1" applyBorder="1" applyAlignment="1">
      <alignment horizontal="center" vertical="center" wrapText="1"/>
    </xf>
    <xf numFmtId="0" fontId="2" fillId="5" borderId="50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left" vertical="center" wrapText="1"/>
    </xf>
    <xf numFmtId="169" fontId="1" fillId="0" borderId="1" xfId="0" applyNumberFormat="1" applyFont="1" applyBorder="1" applyAlignment="1">
      <alignment horizontal="center" vertical="center" wrapText="1"/>
    </xf>
    <xf numFmtId="169" fontId="1" fillId="5" borderId="1" xfId="0" applyNumberFormat="1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2" fillId="9" borderId="48" xfId="0" applyFont="1" applyFill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9" borderId="40" xfId="0" applyFont="1" applyFill="1" applyBorder="1" applyAlignment="1">
      <alignment horizontal="center" vertical="center"/>
    </xf>
    <xf numFmtId="169" fontId="14" fillId="0" borderId="23" xfId="0" applyNumberFormat="1" applyFont="1" applyBorder="1" applyAlignment="1">
      <alignment horizontal="center" vertical="center" wrapText="1"/>
    </xf>
    <xf numFmtId="169" fontId="14" fillId="0" borderId="5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9" borderId="24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 wrapText="1"/>
    </xf>
    <xf numFmtId="0" fontId="2" fillId="9" borderId="25" xfId="0" applyFont="1" applyFill="1" applyBorder="1" applyAlignment="1">
      <alignment horizontal="center" vertical="center" wrapText="1"/>
    </xf>
    <xf numFmtId="169" fontId="0" fillId="0" borderId="0" xfId="0" applyNumberFormat="1" applyAlignment="1">
      <alignment wrapText="1"/>
    </xf>
    <xf numFmtId="169" fontId="0" fillId="0" borderId="0" xfId="0" applyNumberFormat="1" applyAlignment="1">
      <alignment horizontal="center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6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2" fontId="0" fillId="0" borderId="29" xfId="0" applyNumberForma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2" fontId="0" fillId="0" borderId="54" xfId="0" applyNumberFormat="1" applyBorder="1" applyAlignment="1">
      <alignment horizontal="center" vertical="center" wrapText="1"/>
    </xf>
    <xf numFmtId="2" fontId="0" fillId="0" borderId="33" xfId="0" applyNumberFormat="1" applyBorder="1" applyAlignment="1">
      <alignment horizontal="center" vertical="center" wrapText="1"/>
    </xf>
    <xf numFmtId="2" fontId="0" fillId="0" borderId="65" xfId="0" applyNumberFormat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48" xfId="0" applyBorder="1" applyAlignment="1">
      <alignment wrapText="1"/>
    </xf>
    <xf numFmtId="2" fontId="0" fillId="0" borderId="63" xfId="0" applyNumberFormat="1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0" borderId="63" xfId="0" applyBorder="1" applyAlignment="1">
      <alignment wrapText="1"/>
    </xf>
    <xf numFmtId="0" fontId="0" fillId="0" borderId="52" xfId="0" applyBorder="1" applyAlignment="1">
      <alignment wrapText="1"/>
    </xf>
    <xf numFmtId="11" fontId="0" fillId="5" borderId="0" xfId="0" applyNumberFormat="1" applyFill="1" applyAlignment="1">
      <alignment horizontal="center" vertical="center" wrapText="1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horizontal="right"/>
    </xf>
    <xf numFmtId="0" fontId="3" fillId="0" borderId="0" xfId="0" applyFont="1"/>
    <xf numFmtId="0" fontId="4" fillId="0" borderId="0" xfId="0" applyFont="1"/>
    <xf numFmtId="169" fontId="0" fillId="0" borderId="0" xfId="0" applyNumberFormat="1"/>
    <xf numFmtId="169" fontId="3" fillId="0" borderId="0" xfId="0" applyNumberFormat="1" applyFont="1"/>
    <xf numFmtId="10" fontId="0" fillId="0" borderId="0" xfId="0" applyNumberFormat="1"/>
    <xf numFmtId="169" fontId="2" fillId="0" borderId="0" xfId="0" applyNumberFormat="1" applyFont="1"/>
    <xf numFmtId="2" fontId="3" fillId="0" borderId="0" xfId="0" applyNumberFormat="1" applyFont="1"/>
    <xf numFmtId="169" fontId="2" fillId="0" borderId="0" xfId="0" applyNumberFormat="1" applyFont="1" applyAlignment="1">
      <alignment horizontal="center" vertical="center" wrapText="1"/>
    </xf>
    <xf numFmtId="10" fontId="3" fillId="0" borderId="1" xfId="0" applyNumberFormat="1" applyFont="1" applyBorder="1" applyAlignment="1">
      <alignment horizontal="center"/>
    </xf>
    <xf numFmtId="10" fontId="3" fillId="0" borderId="0" xfId="1" applyNumberFormat="1"/>
    <xf numFmtId="166" fontId="3" fillId="0" borderId="1" xfId="0" applyNumberFormat="1" applyFont="1" applyBorder="1" applyAlignment="1">
      <alignment horizontal="center"/>
    </xf>
    <xf numFmtId="0" fontId="2" fillId="6" borderId="8" xfId="0" applyFont="1" applyFill="1" applyBorder="1"/>
    <xf numFmtId="2" fontId="3" fillId="6" borderId="1" xfId="0" applyNumberFormat="1" applyFont="1" applyFill="1" applyBorder="1"/>
    <xf numFmtId="10" fontId="3" fillId="0" borderId="1" xfId="1" applyNumberFormat="1" applyFill="1" applyBorder="1" applyAlignment="1"/>
    <xf numFmtId="0" fontId="3" fillId="0" borderId="1" xfId="0" applyFont="1" applyBorder="1" applyAlignment="1">
      <alignment horizontal="center"/>
    </xf>
    <xf numFmtId="0" fontId="2" fillId="0" borderId="10" xfId="0" applyFont="1" applyBorder="1"/>
    <xf numFmtId="0" fontId="2" fillId="6" borderId="10" xfId="0" applyFont="1" applyFill="1" applyBorder="1"/>
    <xf numFmtId="2" fontId="3" fillId="0" borderId="1" xfId="1" applyNumberFormat="1" applyBorder="1"/>
    <xf numFmtId="0" fontId="0" fillId="0" borderId="0" xfId="0" applyAlignment="1">
      <alignment horizontal="right" vertical="center" wrapText="1"/>
    </xf>
    <xf numFmtId="2" fontId="0" fillId="5" borderId="1" xfId="0" applyNumberFormat="1" applyFill="1" applyBorder="1"/>
    <xf numFmtId="2" fontId="3" fillId="5" borderId="1" xfId="0" applyNumberFormat="1" applyFont="1" applyFill="1" applyBorder="1"/>
    <xf numFmtId="0" fontId="2" fillId="5" borderId="0" xfId="0" applyFont="1" applyFill="1" applyAlignment="1">
      <alignment horizontal="right" vertical="center" wrapText="1"/>
    </xf>
    <xf numFmtId="169" fontId="0" fillId="5" borderId="0" xfId="0" applyNumberFormat="1" applyFill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0" fillId="5" borderId="0" xfId="0" applyFill="1" applyAlignment="1">
      <alignment horizontal="right" vertical="center" wrapText="1"/>
    </xf>
    <xf numFmtId="0" fontId="2" fillId="5" borderId="0" xfId="0" applyFont="1" applyFill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0" fillId="0" borderId="1" xfId="0" applyBorder="1"/>
    <xf numFmtId="0" fontId="0" fillId="0" borderId="5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/>
    </xf>
    <xf numFmtId="0" fontId="2" fillId="7" borderId="1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2" xfId="0" applyFont="1" applyBorder="1" applyAlignment="1">
      <alignment horizontal="left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32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4" xfId="0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42" xfId="0" applyBorder="1" applyAlignment="1">
      <alignment horizontal="left"/>
    </xf>
    <xf numFmtId="0" fontId="3" fillId="0" borderId="1" xfId="0" applyFont="1" applyBorder="1" applyAlignment="1">
      <alignment horizontal="center"/>
    </xf>
    <xf numFmtId="14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0" xfId="0" applyFont="1" applyAlignment="1">
      <alignment horizontal="left" vertical="center" wrapText="1"/>
    </xf>
    <xf numFmtId="1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4" fontId="3" fillId="5" borderId="1" xfId="0" applyNumberFormat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" fontId="2" fillId="0" borderId="1" xfId="0" applyNumberFormat="1" applyFont="1" applyBorder="1" applyAlignment="1">
      <alignment horizontal="center"/>
    </xf>
    <xf numFmtId="0" fontId="2" fillId="6" borderId="10" xfId="0" applyFont="1" applyFill="1" applyBorder="1" applyAlignment="1">
      <alignment horizontal="left"/>
    </xf>
    <xf numFmtId="0" fontId="2" fillId="6" borderId="8" xfId="0" applyFont="1" applyFill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10" fillId="0" borderId="1" xfId="0" applyFont="1" applyBorder="1"/>
    <xf numFmtId="0" fontId="2" fillId="10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2" fillId="6" borderId="6" xfId="0" applyFont="1" applyFill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9" borderId="1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5" borderId="55" xfId="0" applyFont="1" applyFill="1" applyBorder="1" applyAlignment="1">
      <alignment horizontal="right" vertical="center" wrapText="1"/>
    </xf>
    <xf numFmtId="0" fontId="2" fillId="5" borderId="34" xfId="0" applyFont="1" applyFill="1" applyBorder="1" applyAlignment="1">
      <alignment horizontal="right" vertical="center" wrapText="1"/>
    </xf>
    <xf numFmtId="0" fontId="2" fillId="5" borderId="43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2" borderId="66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wrapText="1"/>
    </xf>
    <xf numFmtId="0" fontId="13" fillId="2" borderId="67" xfId="0" applyFont="1" applyFill="1" applyBorder="1" applyAlignment="1">
      <alignment wrapText="1"/>
    </xf>
    <xf numFmtId="0" fontId="0" fillId="5" borderId="34" xfId="0" applyFill="1" applyBorder="1" applyAlignment="1">
      <alignment horizontal="right" vertical="center" wrapText="1"/>
    </xf>
    <xf numFmtId="0" fontId="0" fillId="0" borderId="34" xfId="0" applyBorder="1" applyAlignment="1">
      <alignment horizontal="right" vertical="center" wrapText="1"/>
    </xf>
    <xf numFmtId="0" fontId="0" fillId="0" borderId="43" xfId="0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right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18" xfId="0" applyBorder="1" applyAlignment="1">
      <alignment wrapText="1"/>
    </xf>
    <xf numFmtId="0" fontId="14" fillId="0" borderId="49" xfId="0" applyFont="1" applyBorder="1" applyAlignment="1">
      <alignment horizontal="right" vertical="center" wrapText="1"/>
    </xf>
    <xf numFmtId="0" fontId="15" fillId="0" borderId="42" xfId="0" applyFont="1" applyBorder="1" applyAlignment="1">
      <alignment horizontal="right" vertical="center" wrapText="1"/>
    </xf>
    <xf numFmtId="0" fontId="14" fillId="0" borderId="55" xfId="0" applyFont="1" applyBorder="1" applyAlignment="1">
      <alignment horizontal="right" vertical="center" wrapText="1"/>
    </xf>
    <xf numFmtId="0" fontId="15" fillId="0" borderId="43" xfId="0" applyFont="1" applyBorder="1" applyAlignment="1">
      <alignment horizontal="right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9" borderId="39" xfId="0" applyFont="1" applyFill="1" applyBorder="1" applyAlignment="1">
      <alignment horizontal="center" vertical="center" wrapText="1"/>
    </xf>
    <xf numFmtId="0" fontId="2" fillId="9" borderId="65" xfId="0" applyFont="1" applyFill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/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K157"/>
  <sheetViews>
    <sheetView zoomScale="120" zoomScaleNormal="120" workbookViewId="0">
      <selection activeCell="B152" sqref="B152"/>
    </sheetView>
  </sheetViews>
  <sheetFormatPr defaultColWidth="9.125" defaultRowHeight="12.9"/>
  <cols>
    <col min="1" max="1" width="10" customWidth="1"/>
    <col min="3" max="3" width="15" customWidth="1"/>
    <col min="5" max="5" width="10.875" customWidth="1"/>
    <col min="7" max="7" width="19.125" customWidth="1"/>
    <col min="8" max="8" width="9.125" customWidth="1"/>
    <col min="9" max="9" width="12" customWidth="1"/>
    <col min="10" max="10" width="14.125" customWidth="1"/>
    <col min="11" max="11" width="9.125" customWidth="1"/>
    <col min="13" max="13" width="9.625" customWidth="1"/>
  </cols>
  <sheetData>
    <row r="1" spans="1:9">
      <c r="A1" s="237"/>
      <c r="B1" s="237"/>
      <c r="C1" s="237"/>
      <c r="D1" s="237"/>
      <c r="E1" s="237"/>
      <c r="F1" s="237"/>
      <c r="G1" s="237"/>
      <c r="H1" s="237"/>
      <c r="I1" s="237"/>
    </row>
    <row r="2" spans="1:9" ht="13.6">
      <c r="A2" s="238" t="s">
        <v>0</v>
      </c>
      <c r="B2" s="238"/>
      <c r="C2" s="238"/>
      <c r="D2" s="238"/>
      <c r="E2" s="238"/>
      <c r="F2" s="238"/>
      <c r="G2" s="238"/>
      <c r="H2" s="238"/>
      <c r="I2" s="238"/>
    </row>
    <row r="3" spans="1:9">
      <c r="A3" s="5"/>
      <c r="B3" s="5"/>
      <c r="C3" s="5"/>
      <c r="D3" s="5"/>
      <c r="E3" s="5"/>
      <c r="F3" s="5"/>
      <c r="G3" s="5"/>
      <c r="H3" s="5"/>
      <c r="I3" s="5"/>
    </row>
    <row r="4" spans="1:9" ht="13.6">
      <c r="A4" s="239" t="s">
        <v>1</v>
      </c>
      <c r="B4" s="239"/>
      <c r="C4" s="239"/>
      <c r="D4" s="239"/>
      <c r="E4" s="239"/>
      <c r="F4" s="239"/>
      <c r="G4" s="239"/>
      <c r="H4" s="239"/>
      <c r="I4" s="239"/>
    </row>
    <row r="5" spans="1:9">
      <c r="A5" s="2" t="s">
        <v>2</v>
      </c>
      <c r="B5" s="240" t="s">
        <v>3</v>
      </c>
      <c r="C5" s="240"/>
      <c r="D5" s="240"/>
      <c r="E5" s="240"/>
      <c r="F5" s="240"/>
      <c r="G5" s="240"/>
      <c r="H5" s="241">
        <v>43160</v>
      </c>
      <c r="I5" s="242"/>
    </row>
    <row r="6" spans="1:9">
      <c r="A6" s="2" t="s">
        <v>4</v>
      </c>
      <c r="B6" s="240" t="s">
        <v>5</v>
      </c>
      <c r="C6" s="240"/>
      <c r="D6" s="240"/>
      <c r="E6" s="240"/>
      <c r="F6" s="240"/>
      <c r="G6" s="240"/>
      <c r="H6" s="242" t="s">
        <v>6</v>
      </c>
      <c r="I6" s="242"/>
    </row>
    <row r="7" spans="1:9">
      <c r="A7" s="2" t="s">
        <v>7</v>
      </c>
      <c r="B7" s="240" t="s">
        <v>8</v>
      </c>
      <c r="C7" s="240"/>
      <c r="D7" s="240"/>
      <c r="E7" s="240"/>
      <c r="F7" s="240"/>
      <c r="G7" s="240"/>
      <c r="H7" s="242">
        <v>2018</v>
      </c>
      <c r="I7" s="242"/>
    </row>
    <row r="8" spans="1:9">
      <c r="A8" s="2" t="s">
        <v>9</v>
      </c>
      <c r="B8" s="240" t="s">
        <v>10</v>
      </c>
      <c r="C8" s="240"/>
      <c r="D8" s="240"/>
      <c r="E8" s="240"/>
      <c r="F8" s="240"/>
      <c r="G8" s="240"/>
      <c r="H8" s="242">
        <v>12</v>
      </c>
      <c r="I8" s="242"/>
    </row>
    <row r="9" spans="1:9">
      <c r="A9" s="4"/>
      <c r="B9" s="5"/>
      <c r="C9" s="5"/>
      <c r="D9" s="5"/>
      <c r="E9" s="5"/>
      <c r="F9" s="5"/>
      <c r="G9" s="5"/>
      <c r="H9" s="4"/>
      <c r="I9" s="4"/>
    </row>
    <row r="10" spans="1:9" ht="13.6">
      <c r="A10" s="239" t="s">
        <v>11</v>
      </c>
      <c r="B10" s="239"/>
      <c r="C10" s="239"/>
      <c r="D10" s="239"/>
      <c r="E10" s="239"/>
      <c r="F10" s="239"/>
      <c r="G10" s="239"/>
      <c r="H10" s="239"/>
      <c r="I10" s="239"/>
    </row>
    <row r="11" spans="1:9">
      <c r="A11" s="242" t="s">
        <v>12</v>
      </c>
      <c r="B11" s="242"/>
      <c r="C11" s="242" t="s">
        <v>13</v>
      </c>
      <c r="D11" s="242"/>
      <c r="E11" s="242" t="s">
        <v>14</v>
      </c>
      <c r="F11" s="242"/>
      <c r="G11" s="242"/>
      <c r="H11" s="242"/>
      <c r="I11" s="242"/>
    </row>
    <row r="12" spans="1:9">
      <c r="A12" s="242" t="s">
        <v>15</v>
      </c>
      <c r="B12" s="242"/>
      <c r="C12" s="242" t="s">
        <v>16</v>
      </c>
      <c r="D12" s="242"/>
      <c r="E12" s="242">
        <v>10850</v>
      </c>
      <c r="F12" s="242"/>
      <c r="G12" s="242"/>
      <c r="H12" s="242"/>
      <c r="I12" s="242"/>
    </row>
    <row r="13" spans="1:9">
      <c r="A13" s="4"/>
      <c r="B13" s="5"/>
      <c r="C13" s="5"/>
      <c r="D13" s="5"/>
      <c r="E13" s="5"/>
      <c r="F13" s="5"/>
      <c r="G13" s="5"/>
      <c r="H13" s="4"/>
      <c r="I13" s="4"/>
    </row>
    <row r="14" spans="1:9" ht="13.6">
      <c r="A14" s="239" t="s">
        <v>17</v>
      </c>
      <c r="B14" s="239"/>
      <c r="C14" s="239"/>
      <c r="D14" s="239"/>
      <c r="E14" s="239"/>
      <c r="F14" s="239"/>
      <c r="G14" s="239"/>
      <c r="H14" s="239"/>
      <c r="I14" s="239"/>
    </row>
    <row r="15" spans="1:9">
      <c r="A15" s="2">
        <v>1</v>
      </c>
      <c r="B15" s="240" t="s">
        <v>18</v>
      </c>
      <c r="C15" s="240"/>
      <c r="D15" s="240"/>
      <c r="E15" s="240"/>
      <c r="F15" s="240"/>
      <c r="G15" s="240"/>
      <c r="H15" s="242" t="s">
        <v>15</v>
      </c>
      <c r="I15" s="242"/>
    </row>
    <row r="16" spans="1:9">
      <c r="A16" s="2">
        <v>2</v>
      </c>
      <c r="B16" s="240" t="s">
        <v>19</v>
      </c>
      <c r="C16" s="240"/>
      <c r="D16" s="240"/>
      <c r="E16" s="240"/>
      <c r="F16" s="240"/>
      <c r="G16" s="240"/>
      <c r="H16" s="242" t="s">
        <v>20</v>
      </c>
      <c r="I16" s="242"/>
    </row>
    <row r="17" spans="1:9">
      <c r="A17" s="2">
        <v>3</v>
      </c>
      <c r="B17" s="240" t="s">
        <v>21</v>
      </c>
      <c r="C17" s="240"/>
      <c r="D17" s="240"/>
      <c r="E17" s="240"/>
      <c r="F17" s="240"/>
      <c r="G17" s="240"/>
      <c r="H17" s="243">
        <v>1194</v>
      </c>
      <c r="I17" s="242"/>
    </row>
    <row r="18" spans="1:9">
      <c r="A18" s="2">
        <v>4</v>
      </c>
      <c r="B18" s="240" t="s">
        <v>22</v>
      </c>
      <c r="C18" s="240"/>
      <c r="D18" s="240"/>
      <c r="E18" s="240"/>
      <c r="F18" s="240"/>
      <c r="G18" s="240"/>
      <c r="H18" s="242" t="s">
        <v>23</v>
      </c>
      <c r="I18" s="242"/>
    </row>
    <row r="19" spans="1:9">
      <c r="A19" s="2">
        <v>5</v>
      </c>
      <c r="B19" s="240" t="s">
        <v>24</v>
      </c>
      <c r="C19" s="240"/>
      <c r="D19" s="240"/>
      <c r="E19" s="240"/>
      <c r="F19" s="240"/>
      <c r="G19" s="240"/>
      <c r="H19" s="241">
        <v>43160</v>
      </c>
      <c r="I19" s="242"/>
    </row>
    <row r="20" spans="1:9">
      <c r="A20" s="237"/>
      <c r="B20" s="237"/>
      <c r="C20" s="237"/>
      <c r="D20" s="237"/>
      <c r="E20" s="237"/>
      <c r="F20" s="237"/>
      <c r="G20" s="237"/>
      <c r="H20" s="237"/>
      <c r="I20" s="237"/>
    </row>
    <row r="21" spans="1:9" ht="13.6">
      <c r="A21" s="244" t="s">
        <v>25</v>
      </c>
      <c r="B21" s="244"/>
      <c r="C21" s="244"/>
      <c r="D21" s="244"/>
      <c r="E21" s="244"/>
      <c r="F21" s="244"/>
      <c r="G21" s="244"/>
      <c r="H21" s="244"/>
      <c r="I21" s="244"/>
    </row>
    <row r="22" spans="1:9" ht="13.6">
      <c r="A22" s="1">
        <v>1</v>
      </c>
      <c r="B22" s="245" t="s">
        <v>26</v>
      </c>
      <c r="C22" s="245"/>
      <c r="D22" s="245"/>
      <c r="E22" s="245"/>
      <c r="F22" s="245"/>
      <c r="G22" s="245"/>
      <c r="H22" s="1" t="s">
        <v>27</v>
      </c>
      <c r="I22" s="1" t="s">
        <v>28</v>
      </c>
    </row>
    <row r="23" spans="1:9" ht="13.6">
      <c r="A23" s="1" t="s">
        <v>2</v>
      </c>
      <c r="B23" s="240" t="s">
        <v>29</v>
      </c>
      <c r="C23" s="240"/>
      <c r="D23" s="240"/>
      <c r="E23" s="240"/>
      <c r="F23" s="240"/>
      <c r="G23" s="240"/>
      <c r="H23" s="3"/>
      <c r="I23" s="14">
        <v>1194</v>
      </c>
    </row>
    <row r="24" spans="1:9" ht="13.6">
      <c r="A24" s="1" t="s">
        <v>4</v>
      </c>
      <c r="B24" s="240" t="s">
        <v>30</v>
      </c>
      <c r="C24" s="240"/>
      <c r="D24" s="240"/>
      <c r="E24" s="240"/>
      <c r="F24" s="240"/>
      <c r="G24" s="240"/>
      <c r="H24" s="6"/>
      <c r="I24" s="14">
        <v>0</v>
      </c>
    </row>
    <row r="25" spans="1:9" ht="13.6">
      <c r="A25" s="1" t="s">
        <v>7</v>
      </c>
      <c r="B25" s="240" t="s">
        <v>31</v>
      </c>
      <c r="C25" s="240"/>
      <c r="D25" s="240"/>
      <c r="E25" s="240"/>
      <c r="F25" s="240"/>
      <c r="G25" s="240"/>
      <c r="H25" s="6"/>
      <c r="I25" s="14">
        <f>H25*I23</f>
        <v>0</v>
      </c>
    </row>
    <row r="26" spans="1:9" ht="13.6">
      <c r="A26" s="1" t="s">
        <v>9</v>
      </c>
      <c r="B26" s="240" t="s">
        <v>32</v>
      </c>
      <c r="C26" s="240"/>
      <c r="D26" s="240"/>
      <c r="E26" s="240"/>
      <c r="F26" s="240"/>
      <c r="G26" s="240"/>
      <c r="H26" s="6"/>
      <c r="I26" s="14">
        <v>0</v>
      </c>
    </row>
    <row r="27" spans="1:9" ht="13.6">
      <c r="A27" s="1" t="s">
        <v>33</v>
      </c>
      <c r="B27" s="240" t="s">
        <v>34</v>
      </c>
      <c r="C27" s="240"/>
      <c r="D27" s="240"/>
      <c r="E27" s="240"/>
      <c r="F27" s="240"/>
      <c r="G27" s="240"/>
      <c r="H27" s="7"/>
      <c r="I27" s="14">
        <v>0</v>
      </c>
    </row>
    <row r="28" spans="1:9" ht="13.6">
      <c r="A28" s="1" t="s">
        <v>35</v>
      </c>
      <c r="B28" s="240" t="s">
        <v>36</v>
      </c>
      <c r="C28" s="240"/>
      <c r="D28" s="240"/>
      <c r="E28" s="240"/>
      <c r="F28" s="240"/>
      <c r="G28" s="240"/>
      <c r="H28" s="6"/>
      <c r="I28" s="14">
        <v>0</v>
      </c>
    </row>
    <row r="29" spans="1:9" ht="13.6">
      <c r="A29" s="245" t="s">
        <v>37</v>
      </c>
      <c r="B29" s="245"/>
      <c r="C29" s="245"/>
      <c r="D29" s="245"/>
      <c r="E29" s="245"/>
      <c r="F29" s="245"/>
      <c r="G29" s="245"/>
      <c r="H29" s="245"/>
      <c r="I29" s="15">
        <f>TRUNC(SUM(I23:I28),2)</f>
        <v>1194</v>
      </c>
    </row>
    <row r="30" spans="1:9" ht="13.6">
      <c r="A30" s="8"/>
      <c r="B30" s="8"/>
      <c r="C30" s="8"/>
      <c r="D30" s="8"/>
      <c r="E30" s="8"/>
      <c r="F30" s="8"/>
      <c r="G30" s="8"/>
      <c r="H30" s="8"/>
      <c r="I30" s="16"/>
    </row>
    <row r="31" spans="1:9" ht="13.6">
      <c r="A31" s="244" t="s">
        <v>38</v>
      </c>
      <c r="B31" s="244"/>
      <c r="C31" s="244"/>
      <c r="D31" s="244"/>
      <c r="E31" s="244"/>
      <c r="F31" s="244"/>
      <c r="G31" s="244"/>
      <c r="H31" s="244"/>
      <c r="I31" s="244"/>
    </row>
    <row r="32" spans="1:9" ht="13.6">
      <c r="A32" s="245" t="s">
        <v>39</v>
      </c>
      <c r="B32" s="245"/>
      <c r="C32" s="245"/>
      <c r="D32" s="245"/>
      <c r="E32" s="245"/>
      <c r="F32" s="245"/>
      <c r="G32" s="245"/>
      <c r="H32" s="1" t="s">
        <v>27</v>
      </c>
      <c r="I32" s="1" t="s">
        <v>28</v>
      </c>
    </row>
    <row r="33" spans="1:11" ht="13.6">
      <c r="A33" s="1" t="s">
        <v>2</v>
      </c>
      <c r="B33" s="240" t="s">
        <v>40</v>
      </c>
      <c r="C33" s="240"/>
      <c r="D33" s="240"/>
      <c r="E33" s="240"/>
      <c r="F33" s="240"/>
      <c r="G33" s="240"/>
      <c r="H33" s="9">
        <v>8.3299999999999999E-2</v>
      </c>
      <c r="I33" s="14">
        <f>TRUNC($I$29*H33,2)</f>
        <v>99.46</v>
      </c>
    </row>
    <row r="34" spans="1:11" ht="13.6">
      <c r="A34" s="1" t="s">
        <v>4</v>
      </c>
      <c r="B34" s="240" t="s">
        <v>41</v>
      </c>
      <c r="C34" s="240"/>
      <c r="D34" s="240"/>
      <c r="E34" s="240"/>
      <c r="F34" s="240"/>
      <c r="G34" s="240"/>
      <c r="H34" s="10">
        <v>0.1111</v>
      </c>
      <c r="I34" s="14">
        <f>TRUNC(H34*I29,2)</f>
        <v>132.65</v>
      </c>
    </row>
    <row r="35" spans="1:11" ht="13.6">
      <c r="A35" s="245" t="s">
        <v>42</v>
      </c>
      <c r="B35" s="245"/>
      <c r="C35" s="245"/>
      <c r="D35" s="245"/>
      <c r="E35" s="245"/>
      <c r="F35" s="245"/>
      <c r="G35" s="245"/>
      <c r="H35" s="11">
        <f>TRUNC(SUM(H33:H34),4)</f>
        <v>0.19439999999999999</v>
      </c>
      <c r="I35" s="15">
        <f>TRUNC(SUM(I33:I34),2)</f>
        <v>232.11</v>
      </c>
    </row>
    <row r="36" spans="1:11" ht="13.6">
      <c r="A36" s="246"/>
      <c r="B36" s="247"/>
      <c r="C36" s="247"/>
      <c r="D36" s="247"/>
      <c r="E36" s="247"/>
      <c r="F36" s="247"/>
      <c r="G36" s="247"/>
      <c r="H36" s="247"/>
      <c r="I36" s="247"/>
      <c r="J36" s="17" t="s">
        <v>43</v>
      </c>
      <c r="K36" s="16">
        <f>I29+I35</f>
        <v>1426.1100000000001</v>
      </c>
    </row>
    <row r="37" spans="1:11" ht="13.6">
      <c r="A37" s="245" t="s">
        <v>44</v>
      </c>
      <c r="B37" s="245"/>
      <c r="C37" s="245"/>
      <c r="D37" s="245"/>
      <c r="E37" s="245"/>
      <c r="F37" s="245"/>
      <c r="G37" s="245"/>
      <c r="H37" s="1" t="s">
        <v>27</v>
      </c>
      <c r="I37" s="1" t="s">
        <v>28</v>
      </c>
    </row>
    <row r="38" spans="1:11" ht="13.6">
      <c r="A38" s="1" t="s">
        <v>2</v>
      </c>
      <c r="B38" s="240" t="s">
        <v>45</v>
      </c>
      <c r="C38" s="240"/>
      <c r="D38" s="240"/>
      <c r="E38" s="240"/>
      <c r="F38" s="240"/>
      <c r="G38" s="240"/>
      <c r="H38" s="9">
        <v>0.2</v>
      </c>
      <c r="I38" s="14">
        <f>H38*$K$36</f>
        <v>285.22200000000004</v>
      </c>
    </row>
    <row r="39" spans="1:11" ht="13.6">
      <c r="A39" s="1" t="s">
        <v>4</v>
      </c>
      <c r="B39" s="240" t="s">
        <v>46</v>
      </c>
      <c r="C39" s="240"/>
      <c r="D39" s="240"/>
      <c r="E39" s="240"/>
      <c r="F39" s="240"/>
      <c r="G39" s="240"/>
      <c r="H39" s="9">
        <v>2.5000000000000001E-2</v>
      </c>
      <c r="I39" s="14">
        <f t="shared" ref="I39:I45" si="0">H39*$K$36</f>
        <v>35.652750000000005</v>
      </c>
    </row>
    <row r="40" spans="1:11" ht="13.6">
      <c r="A40" s="1" t="s">
        <v>7</v>
      </c>
      <c r="B40" s="240" t="s">
        <v>47</v>
      </c>
      <c r="C40" s="240"/>
      <c r="D40" s="240"/>
      <c r="E40" s="240"/>
      <c r="F40" s="240"/>
      <c r="G40" s="240"/>
      <c r="H40" s="12">
        <f>0.02*0.843</f>
        <v>1.686E-2</v>
      </c>
      <c r="I40" s="14">
        <f t="shared" si="0"/>
        <v>24.044214600000004</v>
      </c>
    </row>
    <row r="41" spans="1:11" ht="13.6">
      <c r="A41" s="1" t="s">
        <v>9</v>
      </c>
      <c r="B41" s="240" t="s">
        <v>48</v>
      </c>
      <c r="C41" s="240"/>
      <c r="D41" s="240"/>
      <c r="E41" s="240"/>
      <c r="F41" s="240"/>
      <c r="G41" s="240"/>
      <c r="H41" s="9">
        <v>1.4999999999999999E-2</v>
      </c>
      <c r="I41" s="14">
        <f t="shared" si="0"/>
        <v>21.391650000000002</v>
      </c>
    </row>
    <row r="42" spans="1:11" ht="13.6">
      <c r="A42" s="1" t="s">
        <v>33</v>
      </c>
      <c r="B42" s="240" t="s">
        <v>49</v>
      </c>
      <c r="C42" s="240"/>
      <c r="D42" s="240"/>
      <c r="E42" s="240"/>
      <c r="F42" s="240"/>
      <c r="G42" s="240"/>
      <c r="H42" s="9">
        <v>0.01</v>
      </c>
      <c r="I42" s="14">
        <f t="shared" si="0"/>
        <v>14.261100000000001</v>
      </c>
    </row>
    <row r="43" spans="1:11" ht="13.6">
      <c r="A43" s="1" t="s">
        <v>35</v>
      </c>
      <c r="B43" s="240" t="s">
        <v>50</v>
      </c>
      <c r="C43" s="240"/>
      <c r="D43" s="240"/>
      <c r="E43" s="240"/>
      <c r="F43" s="240"/>
      <c r="G43" s="240"/>
      <c r="H43" s="9">
        <v>6.0000000000000001E-3</v>
      </c>
      <c r="I43" s="14">
        <f t="shared" si="0"/>
        <v>8.5566600000000008</v>
      </c>
    </row>
    <row r="44" spans="1:11" ht="13.6">
      <c r="A44" s="1" t="s">
        <v>51</v>
      </c>
      <c r="B44" s="240" t="s">
        <v>52</v>
      </c>
      <c r="C44" s="240"/>
      <c r="D44" s="240"/>
      <c r="E44" s="240"/>
      <c r="F44" s="240"/>
      <c r="G44" s="240"/>
      <c r="H44" s="9">
        <v>2E-3</v>
      </c>
      <c r="I44" s="14">
        <f t="shared" si="0"/>
        <v>2.8522200000000004</v>
      </c>
    </row>
    <row r="45" spans="1:11" ht="13.6">
      <c r="A45" s="1" t="s">
        <v>53</v>
      </c>
      <c r="B45" s="240" t="s">
        <v>54</v>
      </c>
      <c r="C45" s="240"/>
      <c r="D45" s="240"/>
      <c r="E45" s="240"/>
      <c r="F45" s="240"/>
      <c r="G45" s="240"/>
      <c r="H45" s="9">
        <v>0.08</v>
      </c>
      <c r="I45" s="14">
        <f t="shared" si="0"/>
        <v>114.08880000000001</v>
      </c>
    </row>
    <row r="46" spans="1:11" ht="13.6">
      <c r="A46" s="245" t="s">
        <v>55</v>
      </c>
      <c r="B46" s="245"/>
      <c r="C46" s="245"/>
      <c r="D46" s="245"/>
      <c r="E46" s="245"/>
      <c r="F46" s="245"/>
      <c r="G46" s="245"/>
      <c r="H46" s="11">
        <f>SUM(H38:H45)</f>
        <v>0.35486000000000006</v>
      </c>
      <c r="I46" s="15">
        <f>TRUNC(SUM(I38:I45),2)</f>
        <v>506.06</v>
      </c>
    </row>
    <row r="47" spans="1:11" ht="13.6">
      <c r="A47" s="248"/>
      <c r="B47" s="248"/>
      <c r="C47" s="248"/>
      <c r="D47" s="248"/>
      <c r="E47" s="248"/>
      <c r="F47" s="248"/>
      <c r="G47" s="248"/>
      <c r="H47" s="248"/>
      <c r="I47" s="249"/>
    </row>
    <row r="48" spans="1:11" ht="13.6">
      <c r="A48" s="245" t="s">
        <v>56</v>
      </c>
      <c r="B48" s="245"/>
      <c r="C48" s="245"/>
      <c r="D48" s="245"/>
      <c r="E48" s="245"/>
      <c r="F48" s="245"/>
      <c r="G48" s="245"/>
      <c r="H48" s="11"/>
      <c r="I48" s="1" t="s">
        <v>28</v>
      </c>
    </row>
    <row r="49" spans="1:9" ht="13.6">
      <c r="A49" s="1" t="s">
        <v>2</v>
      </c>
      <c r="B49" s="250" t="s">
        <v>57</v>
      </c>
      <c r="C49" s="250"/>
      <c r="D49" s="250"/>
      <c r="E49" s="250"/>
      <c r="F49" s="250"/>
      <c r="G49" s="250"/>
      <c r="H49" s="2" t="s">
        <v>58</v>
      </c>
      <c r="I49" s="18">
        <f>(4.05*2*22)-(I23*0.06)</f>
        <v>106.55999999999999</v>
      </c>
    </row>
    <row r="50" spans="1:9" ht="13.6">
      <c r="A50" s="1" t="s">
        <v>4</v>
      </c>
      <c r="B50" s="250" t="s">
        <v>59</v>
      </c>
      <c r="C50" s="250"/>
      <c r="D50" s="250"/>
      <c r="E50" s="250"/>
      <c r="F50" s="250"/>
      <c r="G50" s="250"/>
      <c r="H50" s="2" t="s">
        <v>58</v>
      </c>
      <c r="I50" s="18">
        <f>18*22*0.9</f>
        <v>356.40000000000003</v>
      </c>
    </row>
    <row r="51" spans="1:9" ht="13.6">
      <c r="A51" s="1" t="s">
        <v>7</v>
      </c>
      <c r="B51" s="250" t="s">
        <v>60</v>
      </c>
      <c r="C51" s="250"/>
      <c r="D51" s="250"/>
      <c r="E51" s="250"/>
      <c r="F51" s="250"/>
      <c r="G51" s="250"/>
      <c r="H51" s="2" t="s">
        <v>58</v>
      </c>
      <c r="I51" s="18">
        <v>0</v>
      </c>
    </row>
    <row r="52" spans="1:9" ht="13.6">
      <c r="A52" s="1" t="s">
        <v>9</v>
      </c>
      <c r="B52" s="251" t="s">
        <v>155</v>
      </c>
      <c r="C52" s="252"/>
      <c r="D52" s="252"/>
      <c r="E52" s="252"/>
      <c r="F52" s="252"/>
      <c r="G52" s="253"/>
      <c r="H52" s="2" t="s">
        <v>58</v>
      </c>
      <c r="I52" s="18">
        <v>5.35</v>
      </c>
    </row>
    <row r="53" spans="1:9" ht="13.6">
      <c r="A53" s="1" t="s">
        <v>33</v>
      </c>
      <c r="B53" s="251" t="s">
        <v>156</v>
      </c>
      <c r="C53" s="252"/>
      <c r="D53" s="252"/>
      <c r="E53" s="252"/>
      <c r="F53" s="252"/>
      <c r="G53" s="253"/>
      <c r="H53" s="2" t="s">
        <v>58</v>
      </c>
      <c r="I53" s="18">
        <f>40/12</f>
        <v>3.3333333333333335</v>
      </c>
    </row>
    <row r="54" spans="1:9" ht="13.6">
      <c r="A54" s="1" t="s">
        <v>35</v>
      </c>
      <c r="B54" s="250" t="s">
        <v>61</v>
      </c>
      <c r="C54" s="250"/>
      <c r="D54" s="250"/>
      <c r="E54" s="250"/>
      <c r="F54" s="250"/>
      <c r="G54" s="250"/>
      <c r="H54" s="2" t="s">
        <v>58</v>
      </c>
      <c r="I54" s="18">
        <v>0</v>
      </c>
    </row>
    <row r="55" spans="1:9" ht="13.6">
      <c r="A55" s="245" t="s">
        <v>62</v>
      </c>
      <c r="B55" s="245"/>
      <c r="C55" s="245"/>
      <c r="D55" s="245"/>
      <c r="E55" s="245"/>
      <c r="F55" s="245"/>
      <c r="G55" s="245"/>
      <c r="H55" s="245"/>
      <c r="I55" s="15">
        <f>SUM(I49:I54)</f>
        <v>471.64333333333337</v>
      </c>
    </row>
    <row r="56" spans="1:9" ht="13.6">
      <c r="A56" s="248"/>
      <c r="B56" s="248"/>
      <c r="C56" s="248"/>
      <c r="D56" s="248"/>
      <c r="E56" s="248"/>
      <c r="F56" s="248"/>
      <c r="G56" s="248"/>
      <c r="H56" s="248"/>
      <c r="I56" s="249"/>
    </row>
    <row r="57" spans="1:9" ht="13.6">
      <c r="A57" s="254" t="s">
        <v>63</v>
      </c>
      <c r="B57" s="254"/>
      <c r="C57" s="254"/>
      <c r="D57" s="254"/>
      <c r="E57" s="254"/>
      <c r="F57" s="254"/>
      <c r="G57" s="254"/>
      <c r="H57" s="254"/>
      <c r="I57" s="254"/>
    </row>
    <row r="58" spans="1:9" ht="13.6">
      <c r="A58" s="245" t="s">
        <v>64</v>
      </c>
      <c r="B58" s="245"/>
      <c r="C58" s="245"/>
      <c r="D58" s="245"/>
      <c r="E58" s="245"/>
      <c r="F58" s="245"/>
      <c r="G58" s="245"/>
      <c r="H58" s="245"/>
      <c r="I58" s="1" t="s">
        <v>28</v>
      </c>
    </row>
    <row r="59" spans="1:9" ht="13.6">
      <c r="A59" s="1" t="s">
        <v>65</v>
      </c>
      <c r="B59" s="242" t="s">
        <v>66</v>
      </c>
      <c r="C59" s="242"/>
      <c r="D59" s="242"/>
      <c r="E59" s="242"/>
      <c r="F59" s="242"/>
      <c r="G59" s="242"/>
      <c r="H59" s="242"/>
      <c r="I59" s="14">
        <f>I35</f>
        <v>232.11</v>
      </c>
    </row>
    <row r="60" spans="1:9" ht="13.6">
      <c r="A60" s="1" t="s">
        <v>67</v>
      </c>
      <c r="B60" s="242" t="s">
        <v>68</v>
      </c>
      <c r="C60" s="242"/>
      <c r="D60" s="242"/>
      <c r="E60" s="242"/>
      <c r="F60" s="242"/>
      <c r="G60" s="242"/>
      <c r="H60" s="242"/>
      <c r="I60" s="14">
        <f>I46</f>
        <v>506.06</v>
      </c>
    </row>
    <row r="61" spans="1:9" ht="13.6">
      <c r="A61" s="1" t="s">
        <v>69</v>
      </c>
      <c r="B61" s="242" t="s">
        <v>70</v>
      </c>
      <c r="C61" s="242"/>
      <c r="D61" s="242"/>
      <c r="E61" s="242"/>
      <c r="F61" s="242"/>
      <c r="G61" s="242"/>
      <c r="H61" s="242"/>
      <c r="I61" s="14">
        <f>I55</f>
        <v>471.64333333333337</v>
      </c>
    </row>
    <row r="62" spans="1:9" ht="13.6">
      <c r="A62" s="245" t="s">
        <v>71</v>
      </c>
      <c r="B62" s="245"/>
      <c r="C62" s="245"/>
      <c r="D62" s="245"/>
      <c r="E62" s="245"/>
      <c r="F62" s="245"/>
      <c r="G62" s="245"/>
      <c r="H62" s="245"/>
      <c r="I62" s="15">
        <f>TRUNC(SUM(I59:I61),2)</f>
        <v>1209.81</v>
      </c>
    </row>
    <row r="63" spans="1:9" ht="13.6">
      <c r="A63" s="255"/>
      <c r="B63" s="256"/>
      <c r="C63" s="256"/>
      <c r="D63" s="256"/>
      <c r="E63" s="256"/>
      <c r="F63" s="256"/>
      <c r="G63" s="256"/>
      <c r="H63" s="256"/>
      <c r="I63" s="256"/>
    </row>
    <row r="64" spans="1:9" ht="13.6">
      <c r="A64" s="244" t="s">
        <v>72</v>
      </c>
      <c r="B64" s="244"/>
      <c r="C64" s="244"/>
      <c r="D64" s="244"/>
      <c r="E64" s="244"/>
      <c r="F64" s="244"/>
      <c r="G64" s="244"/>
      <c r="H64" s="244"/>
      <c r="I64" s="244"/>
    </row>
    <row r="65" spans="1:11" ht="13.6">
      <c r="A65" s="1">
        <v>3</v>
      </c>
      <c r="B65" s="245" t="s">
        <v>73</v>
      </c>
      <c r="C65" s="245"/>
      <c r="D65" s="245"/>
      <c r="E65" s="245"/>
      <c r="F65" s="245"/>
      <c r="G65" s="245"/>
      <c r="H65" s="1" t="s">
        <v>27</v>
      </c>
      <c r="I65" s="1" t="s">
        <v>28</v>
      </c>
    </row>
    <row r="66" spans="1:11" ht="13.6">
      <c r="A66" s="1" t="s">
        <v>2</v>
      </c>
      <c r="B66" s="240" t="s">
        <v>74</v>
      </c>
      <c r="C66" s="240"/>
      <c r="D66" s="240"/>
      <c r="E66" s="240"/>
      <c r="F66" s="240"/>
      <c r="G66" s="240"/>
      <c r="H66" s="9">
        <v>4.1999999999999997E-3</v>
      </c>
      <c r="I66" s="14">
        <f>$I$29*H66</f>
        <v>5.0147999999999993</v>
      </c>
    </row>
    <row r="67" spans="1:11" ht="13.6">
      <c r="A67" s="1" t="s">
        <v>4</v>
      </c>
      <c r="B67" s="240" t="s">
        <v>75</v>
      </c>
      <c r="C67" s="240"/>
      <c r="D67" s="240"/>
      <c r="E67" s="240"/>
      <c r="F67" s="240"/>
      <c r="G67" s="240"/>
      <c r="H67" s="19">
        <f>0.08*H66</f>
        <v>3.3599999999999998E-4</v>
      </c>
      <c r="I67" s="14">
        <f>H67*I29</f>
        <v>0.40118399999999999</v>
      </c>
    </row>
    <row r="68" spans="1:11" ht="13.6">
      <c r="A68" s="1" t="s">
        <v>7</v>
      </c>
      <c r="B68" s="240" t="s">
        <v>76</v>
      </c>
      <c r="C68" s="240"/>
      <c r="D68" s="240"/>
      <c r="E68" s="240"/>
      <c r="F68" s="240"/>
      <c r="G68" s="240"/>
      <c r="H68" s="12">
        <f>0.5*H67</f>
        <v>1.6799999999999999E-4</v>
      </c>
      <c r="I68" s="14">
        <f>$I$29*H68</f>
        <v>0.20059199999999999</v>
      </c>
    </row>
    <row r="69" spans="1:11" ht="13.6">
      <c r="A69" s="1" t="s">
        <v>9</v>
      </c>
      <c r="B69" s="240" t="s">
        <v>77</v>
      </c>
      <c r="C69" s="240"/>
      <c r="D69" s="240"/>
      <c r="E69" s="240"/>
      <c r="F69" s="240"/>
      <c r="G69" s="240"/>
      <c r="H69" s="9">
        <v>1.9400000000000001E-2</v>
      </c>
      <c r="I69" s="14">
        <f>$I$29*H69</f>
        <v>23.163600000000002</v>
      </c>
    </row>
    <row r="70" spans="1:11" ht="13.6">
      <c r="A70" s="61" t="s">
        <v>33</v>
      </c>
      <c r="B70" s="257" t="s">
        <v>78</v>
      </c>
      <c r="C70" s="257"/>
      <c r="D70" s="257"/>
      <c r="E70" s="257"/>
      <c r="F70" s="257"/>
      <c r="G70" s="257"/>
      <c r="H70" s="62">
        <f>H46*H69</f>
        <v>6.8842840000000018E-3</v>
      </c>
      <c r="I70" s="63">
        <f t="shared" ref="I70:I71" si="1">$I$29*H70</f>
        <v>8.2198350960000024</v>
      </c>
    </row>
    <row r="71" spans="1:11" ht="13.6">
      <c r="A71" s="1" t="s">
        <v>35</v>
      </c>
      <c r="B71" s="240" t="s">
        <v>79</v>
      </c>
      <c r="C71" s="240"/>
      <c r="D71" s="240"/>
      <c r="E71" s="240"/>
      <c r="F71" s="240"/>
      <c r="G71" s="240"/>
      <c r="H71" s="12">
        <f>0.5*0.08*H69</f>
        <v>7.76E-4</v>
      </c>
      <c r="I71" s="14">
        <f t="shared" si="1"/>
        <v>0.92654400000000003</v>
      </c>
    </row>
    <row r="72" spans="1:11" ht="13.6">
      <c r="A72" s="245" t="s">
        <v>80</v>
      </c>
      <c r="B72" s="245"/>
      <c r="C72" s="245"/>
      <c r="D72" s="245"/>
      <c r="E72" s="245"/>
      <c r="F72" s="245"/>
      <c r="G72" s="245"/>
      <c r="H72" s="11">
        <f>TRUNC(SUM(H66:H71),4)</f>
        <v>3.1699999999999999E-2</v>
      </c>
      <c r="I72" s="15">
        <f>TRUNC(SUM(I66:I71),2)</f>
        <v>37.92</v>
      </c>
    </row>
    <row r="73" spans="1:11" ht="13.6">
      <c r="A73" s="258"/>
      <c r="B73" s="259"/>
      <c r="C73" s="259"/>
      <c r="D73" s="259"/>
      <c r="E73" s="259"/>
      <c r="F73" s="259"/>
      <c r="G73" s="259"/>
      <c r="H73" s="259"/>
      <c r="I73" s="259"/>
    </row>
    <row r="74" spans="1:11" ht="13.6">
      <c r="A74" s="244" t="s">
        <v>81</v>
      </c>
      <c r="B74" s="244"/>
      <c r="C74" s="244"/>
      <c r="D74" s="244"/>
      <c r="E74" s="244"/>
      <c r="F74" s="244"/>
      <c r="G74" s="244"/>
      <c r="H74" s="244"/>
      <c r="I74" s="244"/>
    </row>
    <row r="75" spans="1:11" ht="13.6">
      <c r="A75" s="245" t="s">
        <v>82</v>
      </c>
      <c r="B75" s="245"/>
      <c r="C75" s="245"/>
      <c r="D75" s="245"/>
      <c r="E75" s="245"/>
      <c r="F75" s="245"/>
      <c r="G75" s="245"/>
      <c r="H75" s="1" t="s">
        <v>27</v>
      </c>
      <c r="I75" s="1" t="s">
        <v>28</v>
      </c>
    </row>
    <row r="76" spans="1:11" ht="13.6">
      <c r="A76" s="1" t="s">
        <v>2</v>
      </c>
      <c r="B76" s="240" t="s">
        <v>83</v>
      </c>
      <c r="C76" s="240"/>
      <c r="D76" s="240"/>
      <c r="E76" s="240"/>
      <c r="F76" s="240"/>
      <c r="G76" s="240"/>
      <c r="H76" s="9">
        <v>8.3299999999999999E-2</v>
      </c>
      <c r="I76" s="14">
        <f t="shared" ref="I76:I81" si="2">$I$29*H76</f>
        <v>99.4602</v>
      </c>
    </row>
    <row r="77" spans="1:11" ht="13.6">
      <c r="A77" s="1" t="s">
        <v>4</v>
      </c>
      <c r="B77" s="240" t="s">
        <v>84</v>
      </c>
      <c r="C77" s="240"/>
      <c r="D77" s="240"/>
      <c r="E77" s="240"/>
      <c r="F77" s="240"/>
      <c r="G77" s="240"/>
      <c r="H77" s="9">
        <v>8.2000000000000007E-3</v>
      </c>
      <c r="I77" s="14">
        <f t="shared" si="2"/>
        <v>9.7908000000000008</v>
      </c>
    </row>
    <row r="78" spans="1:11" ht="13.6">
      <c r="A78" s="1" t="s">
        <v>7</v>
      </c>
      <c r="B78" s="240" t="s">
        <v>85</v>
      </c>
      <c r="C78" s="240"/>
      <c r="D78" s="240"/>
      <c r="E78" s="240"/>
      <c r="F78" s="240"/>
      <c r="G78" s="240"/>
      <c r="H78" s="9">
        <v>2.0000000000000001E-4</v>
      </c>
      <c r="I78" s="14">
        <f t="shared" si="2"/>
        <v>0.23880000000000001</v>
      </c>
    </row>
    <row r="79" spans="1:11" ht="13.6">
      <c r="A79" s="1" t="s">
        <v>9</v>
      </c>
      <c r="B79" s="240" t="s">
        <v>86</v>
      </c>
      <c r="C79" s="240"/>
      <c r="D79" s="240"/>
      <c r="E79" s="240"/>
      <c r="F79" s="240"/>
      <c r="G79" s="240"/>
      <c r="H79" s="9">
        <v>2.9999999999999997E-4</v>
      </c>
      <c r="I79" s="14">
        <f t="shared" si="2"/>
        <v>0.35819999999999996</v>
      </c>
    </row>
    <row r="80" spans="1:11" ht="13.6">
      <c r="A80" s="1" t="s">
        <v>33</v>
      </c>
      <c r="B80" s="240" t="s">
        <v>87</v>
      </c>
      <c r="C80" s="240"/>
      <c r="D80" s="240"/>
      <c r="E80" s="240"/>
      <c r="F80" s="240"/>
      <c r="G80" s="240"/>
      <c r="H80" s="9">
        <v>6.1000000000000004E-3</v>
      </c>
      <c r="I80" s="14">
        <f t="shared" si="2"/>
        <v>7.2834000000000003</v>
      </c>
      <c r="K80" s="31"/>
    </row>
    <row r="81" spans="1:9" ht="13.6">
      <c r="A81" s="1" t="s">
        <v>35</v>
      </c>
      <c r="B81" s="240" t="s">
        <v>88</v>
      </c>
      <c r="C81" s="240"/>
      <c r="D81" s="240"/>
      <c r="E81" s="240"/>
      <c r="F81" s="240"/>
      <c r="G81" s="240"/>
      <c r="H81" s="9">
        <v>0</v>
      </c>
      <c r="I81" s="14">
        <f t="shared" si="2"/>
        <v>0</v>
      </c>
    </row>
    <row r="82" spans="1:9" ht="13.6">
      <c r="A82" s="245" t="s">
        <v>89</v>
      </c>
      <c r="B82" s="245"/>
      <c r="C82" s="245"/>
      <c r="D82" s="245"/>
      <c r="E82" s="245"/>
      <c r="F82" s="245"/>
      <c r="G82" s="245"/>
      <c r="H82" s="11">
        <f>TRUNC(SUM(H76:H81),4)</f>
        <v>9.8100000000000007E-2</v>
      </c>
      <c r="I82" s="15">
        <f>TRUNC(SUM(I76:I81),2)</f>
        <v>117.13</v>
      </c>
    </row>
    <row r="83" spans="1:9" ht="13.6">
      <c r="A83" s="260"/>
      <c r="B83" s="261"/>
      <c r="C83" s="261"/>
      <c r="D83" s="261"/>
      <c r="E83" s="261"/>
      <c r="F83" s="261"/>
      <c r="G83" s="261"/>
      <c r="H83" s="261"/>
      <c r="I83" s="261"/>
    </row>
    <row r="84" spans="1:9" ht="13.6">
      <c r="A84" s="245" t="s">
        <v>90</v>
      </c>
      <c r="B84" s="245"/>
      <c r="C84" s="245"/>
      <c r="D84" s="245"/>
      <c r="E84" s="245"/>
      <c r="F84" s="245"/>
      <c r="G84" s="245"/>
      <c r="H84" s="1" t="s">
        <v>27</v>
      </c>
      <c r="I84" s="1" t="s">
        <v>28</v>
      </c>
    </row>
    <row r="85" spans="1:9" ht="13.6">
      <c r="A85" s="1" t="s">
        <v>2</v>
      </c>
      <c r="B85" s="240" t="s">
        <v>91</v>
      </c>
      <c r="C85" s="240"/>
      <c r="D85" s="240"/>
      <c r="E85" s="240"/>
      <c r="F85" s="240"/>
      <c r="G85" s="240"/>
      <c r="H85" s="9">
        <v>0</v>
      </c>
      <c r="I85" s="14">
        <f t="shared" ref="I85" si="3">$I$29*H85</f>
        <v>0</v>
      </c>
    </row>
    <row r="86" spans="1:9" ht="13.6">
      <c r="A86" s="245" t="s">
        <v>92</v>
      </c>
      <c r="B86" s="245"/>
      <c r="C86" s="245"/>
      <c r="D86" s="245"/>
      <c r="E86" s="245"/>
      <c r="F86" s="245"/>
      <c r="G86" s="245"/>
      <c r="H86" s="11">
        <f>TRUNC(SUM(H85),4)</f>
        <v>0</v>
      </c>
      <c r="I86" s="15">
        <f>TRUNC(SUM(I85),2)</f>
        <v>0</v>
      </c>
    </row>
    <row r="87" spans="1:9" ht="13.6">
      <c r="A87" s="262"/>
      <c r="B87" s="263"/>
      <c r="C87" s="263"/>
      <c r="D87" s="263"/>
      <c r="E87" s="263"/>
      <c r="F87" s="263"/>
      <c r="G87" s="263"/>
      <c r="H87" s="263"/>
      <c r="I87" s="263"/>
    </row>
    <row r="88" spans="1:9" ht="13.6">
      <c r="A88" s="254" t="s">
        <v>93</v>
      </c>
      <c r="B88" s="254"/>
      <c r="C88" s="254"/>
      <c r="D88" s="254"/>
      <c r="E88" s="254"/>
      <c r="F88" s="254"/>
      <c r="G88" s="254"/>
      <c r="H88" s="254"/>
      <c r="I88" s="254"/>
    </row>
    <row r="89" spans="1:9" ht="13.6">
      <c r="A89" s="245" t="s">
        <v>94</v>
      </c>
      <c r="B89" s="245"/>
      <c r="C89" s="245"/>
      <c r="D89" s="245"/>
      <c r="E89" s="245"/>
      <c r="F89" s="245"/>
      <c r="G89" s="245"/>
      <c r="H89" s="245"/>
      <c r="I89" s="1" t="s">
        <v>28</v>
      </c>
    </row>
    <row r="90" spans="1:9" ht="13.6">
      <c r="A90" s="1" t="s">
        <v>95</v>
      </c>
      <c r="B90" s="242" t="s">
        <v>96</v>
      </c>
      <c r="C90" s="242"/>
      <c r="D90" s="242"/>
      <c r="E90" s="242"/>
      <c r="F90" s="242"/>
      <c r="G90" s="242"/>
      <c r="H90" s="242"/>
      <c r="I90" s="14">
        <f>I82</f>
        <v>117.13</v>
      </c>
    </row>
    <row r="91" spans="1:9" ht="13.6">
      <c r="A91" s="1" t="s">
        <v>97</v>
      </c>
      <c r="B91" s="242" t="s">
        <v>98</v>
      </c>
      <c r="C91" s="242"/>
      <c r="D91" s="242"/>
      <c r="E91" s="242"/>
      <c r="F91" s="242"/>
      <c r="G91" s="242"/>
      <c r="H91" s="242"/>
      <c r="I91" s="14">
        <f>I86</f>
        <v>0</v>
      </c>
    </row>
    <row r="92" spans="1:9" ht="13.6">
      <c r="A92" s="245" t="s">
        <v>99</v>
      </c>
      <c r="B92" s="245"/>
      <c r="C92" s="245"/>
      <c r="D92" s="245"/>
      <c r="E92" s="245"/>
      <c r="F92" s="245"/>
      <c r="G92" s="245"/>
      <c r="H92" s="245"/>
      <c r="I92" s="15">
        <f>TRUNC(SUM(I90:I91),2)</f>
        <v>117.13</v>
      </c>
    </row>
    <row r="93" spans="1:9" ht="13.6">
      <c r="A93" s="255"/>
      <c r="B93" s="256"/>
      <c r="C93" s="256"/>
      <c r="D93" s="256"/>
      <c r="E93" s="256"/>
      <c r="F93" s="256"/>
      <c r="G93" s="256"/>
      <c r="H93" s="256"/>
      <c r="I93" s="256"/>
    </row>
    <row r="94" spans="1:9" ht="13.6">
      <c r="A94" s="244" t="s">
        <v>100</v>
      </c>
      <c r="B94" s="244"/>
      <c r="C94" s="244"/>
      <c r="D94" s="244"/>
      <c r="E94" s="244"/>
      <c r="F94" s="244"/>
      <c r="G94" s="244"/>
      <c r="H94" s="244"/>
      <c r="I94" s="244"/>
    </row>
    <row r="95" spans="1:9" ht="13.6">
      <c r="A95" s="1">
        <v>5</v>
      </c>
      <c r="B95" s="245" t="s">
        <v>101</v>
      </c>
      <c r="C95" s="245"/>
      <c r="D95" s="245"/>
      <c r="E95" s="245"/>
      <c r="F95" s="245"/>
      <c r="G95" s="245"/>
      <c r="H95" s="1"/>
      <c r="I95" s="1" t="s">
        <v>28</v>
      </c>
    </row>
    <row r="96" spans="1:9" ht="13.6">
      <c r="A96" s="1" t="s">
        <v>2</v>
      </c>
      <c r="B96" s="250" t="s">
        <v>102</v>
      </c>
      <c r="C96" s="250"/>
      <c r="D96" s="250"/>
      <c r="E96" s="250"/>
      <c r="F96" s="250"/>
      <c r="G96" s="250"/>
      <c r="H96" s="2" t="s">
        <v>58</v>
      </c>
      <c r="I96" s="14" t="e">
        <f>#REF!</f>
        <v>#REF!</v>
      </c>
    </row>
    <row r="97" spans="1:9" ht="13.6">
      <c r="A97" s="1" t="s">
        <v>4</v>
      </c>
      <c r="B97" s="250" t="s">
        <v>103</v>
      </c>
      <c r="C97" s="250"/>
      <c r="D97" s="250"/>
      <c r="E97" s="250"/>
      <c r="F97" s="250"/>
      <c r="G97" s="250"/>
      <c r="H97" s="2" t="s">
        <v>58</v>
      </c>
      <c r="I97" s="14" t="e">
        <f>#REF!</f>
        <v>#REF!</v>
      </c>
    </row>
    <row r="98" spans="1:9" ht="13.6">
      <c r="A98" s="13" t="s">
        <v>7</v>
      </c>
      <c r="B98" s="250" t="s">
        <v>104</v>
      </c>
      <c r="C98" s="250"/>
      <c r="D98" s="250"/>
      <c r="E98" s="250"/>
      <c r="F98" s="250"/>
      <c r="G98" s="250"/>
      <c r="H98" s="2" t="s">
        <v>58</v>
      </c>
      <c r="I98" s="14" t="e">
        <f>#REF!</f>
        <v>#REF!</v>
      </c>
    </row>
    <row r="99" spans="1:9" ht="13.6">
      <c r="A99" s="13" t="s">
        <v>9</v>
      </c>
      <c r="B99" s="250" t="s">
        <v>36</v>
      </c>
      <c r="C99" s="250"/>
      <c r="D99" s="250"/>
      <c r="E99" s="250"/>
      <c r="F99" s="250"/>
      <c r="G99" s="250"/>
      <c r="H99" s="2" t="s">
        <v>58</v>
      </c>
      <c r="I99" s="14">
        <v>0</v>
      </c>
    </row>
    <row r="100" spans="1:9" ht="13.6">
      <c r="A100" s="245" t="s">
        <v>105</v>
      </c>
      <c r="B100" s="245"/>
      <c r="C100" s="245"/>
      <c r="D100" s="245"/>
      <c r="E100" s="245"/>
      <c r="F100" s="245"/>
      <c r="G100" s="245"/>
      <c r="H100" s="11" t="s">
        <v>58</v>
      </c>
      <c r="I100" s="15" t="e">
        <f>TRUNC(SUM(I96:I99),2)</f>
        <v>#REF!</v>
      </c>
    </row>
    <row r="101" spans="1:9" ht="13.6">
      <c r="A101" s="255"/>
      <c r="B101" s="256"/>
      <c r="C101" s="256"/>
      <c r="D101" s="256"/>
      <c r="E101" s="256"/>
      <c r="F101" s="256"/>
      <c r="G101" s="256"/>
      <c r="H101" s="256"/>
      <c r="I101" s="256"/>
    </row>
    <row r="102" spans="1:9" ht="13.6">
      <c r="A102" s="244" t="s">
        <v>106</v>
      </c>
      <c r="B102" s="244"/>
      <c r="C102" s="244"/>
      <c r="D102" s="244"/>
      <c r="E102" s="244"/>
      <c r="F102" s="244"/>
      <c r="G102" s="244"/>
      <c r="H102" s="244"/>
      <c r="I102" s="244"/>
    </row>
    <row r="103" spans="1:9" ht="13.6">
      <c r="A103" s="1">
        <v>6</v>
      </c>
      <c r="B103" s="245" t="s">
        <v>107</v>
      </c>
      <c r="C103" s="245"/>
      <c r="D103" s="245"/>
      <c r="E103" s="245"/>
      <c r="F103" s="245"/>
      <c r="G103" s="245"/>
      <c r="H103" s="1" t="s">
        <v>27</v>
      </c>
      <c r="I103" s="1" t="s">
        <v>28</v>
      </c>
    </row>
    <row r="104" spans="1:9" ht="13.6">
      <c r="A104" s="1" t="s">
        <v>2</v>
      </c>
      <c r="B104" s="240" t="s">
        <v>108</v>
      </c>
      <c r="C104" s="240"/>
      <c r="D104" s="240"/>
      <c r="E104" s="240"/>
      <c r="F104" s="240"/>
      <c r="G104" s="240"/>
      <c r="H104" s="20">
        <v>0.03</v>
      </c>
      <c r="I104" s="14" t="e">
        <f>TRUNC(H104*I128,2)</f>
        <v>#REF!</v>
      </c>
    </row>
    <row r="105" spans="1:9" ht="13.6">
      <c r="A105" s="1" t="s">
        <v>4</v>
      </c>
      <c r="B105" s="240" t="s">
        <v>109</v>
      </c>
      <c r="C105" s="240"/>
      <c r="D105" s="240"/>
      <c r="E105" s="240"/>
      <c r="F105" s="240"/>
      <c r="G105" s="240"/>
      <c r="H105" s="21">
        <v>6.7900000000000002E-2</v>
      </c>
      <c r="I105" s="14" t="e">
        <f>TRUNC(H105*(I104+I128),2)</f>
        <v>#REF!</v>
      </c>
    </row>
    <row r="106" spans="1:9" ht="13.6">
      <c r="A106" s="1" t="s">
        <v>7</v>
      </c>
      <c r="B106" s="264" t="s">
        <v>110</v>
      </c>
      <c r="C106" s="264"/>
      <c r="D106" s="264"/>
      <c r="E106" s="264"/>
      <c r="F106" s="264"/>
      <c r="G106" s="264"/>
      <c r="H106" s="6"/>
      <c r="I106" s="32"/>
    </row>
    <row r="107" spans="1:9" ht="13.6">
      <c r="A107" s="1" t="s">
        <v>111</v>
      </c>
      <c r="B107" s="240" t="s">
        <v>112</v>
      </c>
      <c r="C107" s="240"/>
      <c r="D107" s="240"/>
      <c r="E107" s="240"/>
      <c r="F107" s="240"/>
      <c r="G107" s="240"/>
      <c r="H107" s="22">
        <v>1.6500000000000001E-2</v>
      </c>
      <c r="I107" s="14" t="e">
        <f>H107*I117</f>
        <v>#REF!</v>
      </c>
    </row>
    <row r="108" spans="1:9" ht="13.6">
      <c r="A108" s="1" t="s">
        <v>113</v>
      </c>
      <c r="B108" s="240" t="s">
        <v>114</v>
      </c>
      <c r="C108" s="240"/>
      <c r="D108" s="240"/>
      <c r="E108" s="240"/>
      <c r="F108" s="240"/>
      <c r="G108" s="240"/>
      <c r="H108" s="59">
        <v>7.5999999999999998E-2</v>
      </c>
      <c r="I108" s="14" t="e">
        <f>H108*I117</f>
        <v>#REF!</v>
      </c>
    </row>
    <row r="109" spans="1:9" ht="13.6">
      <c r="A109" s="1" t="s">
        <v>115</v>
      </c>
      <c r="B109" s="240" t="s">
        <v>116</v>
      </c>
      <c r="C109" s="240"/>
      <c r="D109" s="240"/>
      <c r="E109" s="240"/>
      <c r="F109" s="240"/>
      <c r="G109" s="240"/>
      <c r="H109" s="60">
        <v>0.05</v>
      </c>
      <c r="I109" s="14" t="e">
        <f>H109*I117</f>
        <v>#REF!</v>
      </c>
    </row>
    <row r="110" spans="1:9" ht="13.6">
      <c r="A110" s="245" t="s">
        <v>117</v>
      </c>
      <c r="B110" s="245"/>
      <c r="C110" s="245"/>
      <c r="D110" s="245"/>
      <c r="E110" s="245"/>
      <c r="F110" s="245"/>
      <c r="G110" s="245"/>
      <c r="H110" s="22">
        <f>SUM(H104:H109)</f>
        <v>0.2404</v>
      </c>
      <c r="I110" s="15" t="e">
        <f>TRUNC(SUM(I104:I109),2)</f>
        <v>#REF!</v>
      </c>
    </row>
    <row r="111" spans="1:9">
      <c r="A111" s="4"/>
      <c r="B111" s="265"/>
      <c r="C111" s="265"/>
      <c r="D111" s="265"/>
      <c r="E111" s="265"/>
      <c r="F111" s="265"/>
      <c r="G111" s="265"/>
      <c r="H111" s="265"/>
      <c r="I111" s="265"/>
    </row>
    <row r="112" spans="1:9" ht="13.6">
      <c r="A112" s="23" t="s">
        <v>118</v>
      </c>
      <c r="B112" s="266" t="s">
        <v>119</v>
      </c>
      <c r="C112" s="266"/>
      <c r="D112" s="266"/>
      <c r="E112" s="266"/>
      <c r="F112" s="266"/>
      <c r="G112" s="266"/>
      <c r="H112" s="24">
        <f>TRUNC(H107+H108+H109,4)</f>
        <v>0.14249999999999999</v>
      </c>
      <c r="I112" s="33"/>
    </row>
    <row r="113" spans="1:11" ht="13.6">
      <c r="A113" s="25"/>
      <c r="B113" s="267">
        <v>100</v>
      </c>
      <c r="C113" s="267"/>
      <c r="D113" s="267"/>
      <c r="E113" s="267"/>
      <c r="F113" s="267"/>
      <c r="G113" s="267"/>
      <c r="H113" s="27"/>
      <c r="I113" s="34"/>
    </row>
    <row r="114" spans="1:11" ht="13.6">
      <c r="A114" s="28"/>
      <c r="B114" s="26"/>
      <c r="C114" s="26"/>
      <c r="D114" s="26"/>
      <c r="E114" s="26"/>
      <c r="F114" s="26"/>
      <c r="G114" s="26"/>
      <c r="H114" s="27"/>
      <c r="I114" s="34"/>
    </row>
    <row r="115" spans="1:11" ht="13.6">
      <c r="A115" s="25" t="s">
        <v>120</v>
      </c>
      <c r="B115" s="267" t="s">
        <v>121</v>
      </c>
      <c r="C115" s="267"/>
      <c r="D115" s="267"/>
      <c r="E115" s="267"/>
      <c r="F115" s="267"/>
      <c r="G115" s="267"/>
      <c r="H115" s="27"/>
      <c r="I115" s="34" t="e">
        <f>TRUNC(I128+I104+I105,2)</f>
        <v>#REF!</v>
      </c>
    </row>
    <row r="116" spans="1:11" ht="13.6">
      <c r="A116" s="25"/>
      <c r="B116" s="26"/>
      <c r="C116" s="26"/>
      <c r="D116" s="26"/>
      <c r="E116" s="26"/>
      <c r="F116" s="26"/>
      <c r="G116" s="26"/>
      <c r="H116" s="27"/>
      <c r="I116" s="34"/>
    </row>
    <row r="117" spans="1:11" ht="13.6">
      <c r="A117" s="25" t="s">
        <v>122</v>
      </c>
      <c r="B117" s="267" t="s">
        <v>123</v>
      </c>
      <c r="C117" s="267"/>
      <c r="D117" s="267"/>
      <c r="E117" s="267"/>
      <c r="F117" s="267"/>
      <c r="G117" s="267"/>
      <c r="H117" s="27"/>
      <c r="I117" s="34" t="e">
        <f>TRUNC(I115/(1-H112),2)</f>
        <v>#REF!</v>
      </c>
    </row>
    <row r="118" spans="1:11" ht="13.6">
      <c r="A118" s="25"/>
      <c r="B118" s="26"/>
      <c r="C118" s="26"/>
      <c r="D118" s="26"/>
      <c r="E118" s="26"/>
      <c r="F118" s="26"/>
      <c r="G118" s="26"/>
      <c r="H118" s="27"/>
      <c r="I118" s="34"/>
    </row>
    <row r="119" spans="1:11" ht="13.6">
      <c r="A119" s="29"/>
      <c r="B119" s="268" t="s">
        <v>124</v>
      </c>
      <c r="C119" s="268"/>
      <c r="D119" s="268"/>
      <c r="E119" s="268"/>
      <c r="F119" s="268"/>
      <c r="G119" s="268"/>
      <c r="H119" s="30"/>
      <c r="I119" s="35" t="e">
        <f>TRUNC(I117-I115,2)</f>
        <v>#REF!</v>
      </c>
      <c r="K119" s="31"/>
    </row>
    <row r="120" spans="1:11" ht="13.6">
      <c r="A120" s="4"/>
      <c r="B120" s="4"/>
      <c r="C120" s="4"/>
      <c r="D120" s="4"/>
      <c r="E120" s="4"/>
      <c r="F120" s="4"/>
      <c r="G120" s="4"/>
      <c r="H120" s="4"/>
      <c r="I120" s="16"/>
    </row>
    <row r="121" spans="1:11" ht="13.6">
      <c r="A121" s="254" t="s">
        <v>125</v>
      </c>
      <c r="B121" s="254"/>
      <c r="C121" s="254"/>
      <c r="D121" s="254"/>
      <c r="E121" s="254"/>
      <c r="F121" s="254"/>
      <c r="G121" s="254"/>
      <c r="H121" s="254"/>
      <c r="I121" s="254"/>
      <c r="K121" s="36"/>
    </row>
    <row r="122" spans="1:11" ht="13.6">
      <c r="A122" s="245" t="s">
        <v>126</v>
      </c>
      <c r="B122" s="245"/>
      <c r="C122" s="245"/>
      <c r="D122" s="245"/>
      <c r="E122" s="245"/>
      <c r="F122" s="245"/>
      <c r="G122" s="245"/>
      <c r="H122" s="245"/>
      <c r="I122" s="1" t="s">
        <v>28</v>
      </c>
    </row>
    <row r="123" spans="1:11">
      <c r="A123" s="2" t="s">
        <v>2</v>
      </c>
      <c r="B123" s="240" t="str">
        <f>A21</f>
        <v>MÓDULO 1 - COMPOSIÇÃO DA REMUNERAÇÃO</v>
      </c>
      <c r="C123" s="240"/>
      <c r="D123" s="240"/>
      <c r="E123" s="240"/>
      <c r="F123" s="240"/>
      <c r="G123" s="240"/>
      <c r="H123" s="240"/>
      <c r="I123" s="14">
        <f>I29</f>
        <v>1194</v>
      </c>
    </row>
    <row r="124" spans="1:11">
      <c r="A124" s="2" t="s">
        <v>4</v>
      </c>
      <c r="B124" s="240" t="str">
        <f>A31</f>
        <v>MÓDULO 2 – ENCARGOS E BENEFÍCIOS ANUAIS, MENSAIS E DIÁRIOS</v>
      </c>
      <c r="C124" s="240"/>
      <c r="D124" s="240"/>
      <c r="E124" s="240"/>
      <c r="F124" s="240"/>
      <c r="G124" s="240"/>
      <c r="H124" s="240"/>
      <c r="I124" s="14">
        <f>I62</f>
        <v>1209.81</v>
      </c>
    </row>
    <row r="125" spans="1:11" ht="13.6">
      <c r="A125" s="2" t="s">
        <v>7</v>
      </c>
      <c r="B125" s="240" t="str">
        <f>A64</f>
        <v>MÓDULO 3 – PROVISÃO PARA RESCISÃO</v>
      </c>
      <c r="C125" s="240"/>
      <c r="D125" s="240"/>
      <c r="E125" s="240"/>
      <c r="F125" s="240"/>
      <c r="G125" s="240"/>
      <c r="H125" s="240"/>
      <c r="I125" s="14">
        <f>I72</f>
        <v>37.92</v>
      </c>
      <c r="K125" s="36"/>
    </row>
    <row r="126" spans="1:11" ht="13.6">
      <c r="A126" s="2" t="s">
        <v>9</v>
      </c>
      <c r="B126" s="240" t="str">
        <f>A74</f>
        <v>MÓDULO 4 – CUSTO DE REPOSIÇÃO DO PROFISSIONAL AUSENTE</v>
      </c>
      <c r="C126" s="240"/>
      <c r="D126" s="240"/>
      <c r="E126" s="240"/>
      <c r="F126" s="240"/>
      <c r="G126" s="240"/>
      <c r="H126" s="240"/>
      <c r="I126" s="14">
        <f>I92</f>
        <v>117.13</v>
      </c>
      <c r="K126" s="36"/>
    </row>
    <row r="127" spans="1:11">
      <c r="A127" s="2" t="s">
        <v>33</v>
      </c>
      <c r="B127" s="240" t="str">
        <f>A94</f>
        <v>MÓDULO 5 – INSUMOS DIVERSOS</v>
      </c>
      <c r="C127" s="240"/>
      <c r="D127" s="240"/>
      <c r="E127" s="240"/>
      <c r="F127" s="240"/>
      <c r="G127" s="240"/>
      <c r="H127" s="240"/>
      <c r="I127" s="14" t="e">
        <f>I100</f>
        <v>#REF!</v>
      </c>
    </row>
    <row r="128" spans="1:11" ht="13.6">
      <c r="A128" s="1"/>
      <c r="B128" s="245" t="s">
        <v>127</v>
      </c>
      <c r="C128" s="245"/>
      <c r="D128" s="245"/>
      <c r="E128" s="245"/>
      <c r="F128" s="245"/>
      <c r="G128" s="245"/>
      <c r="H128" s="245"/>
      <c r="I128" s="15" t="e">
        <f>TRUNC(SUM(I123:I127),2)</f>
        <v>#REF!</v>
      </c>
      <c r="K128" s="31"/>
    </row>
    <row r="129" spans="1:9">
      <c r="A129" s="2" t="s">
        <v>35</v>
      </c>
      <c r="B129" s="240" t="str">
        <f>A102</f>
        <v>MÓDULO 6 – CUSTOS INDIRETOS, TRIBUTOS E LUCRO</v>
      </c>
      <c r="C129" s="240"/>
      <c r="D129" s="240"/>
      <c r="E129" s="240"/>
      <c r="F129" s="240"/>
      <c r="G129" s="240"/>
      <c r="H129" s="240"/>
      <c r="I129" s="14" t="e">
        <f>I110</f>
        <v>#REF!</v>
      </c>
    </row>
    <row r="130" spans="1:9" ht="13.6">
      <c r="A130" s="245" t="s">
        <v>128</v>
      </c>
      <c r="B130" s="245"/>
      <c r="C130" s="245"/>
      <c r="D130" s="245"/>
      <c r="E130" s="245"/>
      <c r="F130" s="245"/>
      <c r="G130" s="245"/>
      <c r="H130" s="245"/>
      <c r="I130" s="15" t="e">
        <f>TRUNC(SUM(I128:I129),2)</f>
        <v>#REF!</v>
      </c>
    </row>
    <row r="131" spans="1:9">
      <c r="I131" s="31"/>
    </row>
    <row r="132" spans="1:9" ht="13.6" hidden="1">
      <c r="A132" s="4"/>
      <c r="B132" s="237" t="s">
        <v>129</v>
      </c>
      <c r="C132" s="237"/>
      <c r="D132" s="237"/>
      <c r="E132" s="237"/>
      <c r="F132" s="237"/>
      <c r="G132" s="237"/>
      <c r="H132" s="8"/>
      <c r="I132" s="8"/>
    </row>
    <row r="133" spans="1:9" ht="40.6" hidden="1" customHeight="1">
      <c r="A133" s="269" t="s">
        <v>130</v>
      </c>
      <c r="B133" s="270"/>
      <c r="C133" s="269" t="s">
        <v>131</v>
      </c>
      <c r="D133" s="270"/>
      <c r="E133" s="269" t="s">
        <v>132</v>
      </c>
      <c r="F133" s="270"/>
      <c r="G133" s="37" t="s">
        <v>133</v>
      </c>
      <c r="H133" s="38" t="s">
        <v>134</v>
      </c>
      <c r="I133" s="52" t="s">
        <v>28</v>
      </c>
    </row>
    <row r="134" spans="1:9" hidden="1">
      <c r="A134" s="271" t="s">
        <v>135</v>
      </c>
      <c r="B134" s="272"/>
      <c r="C134" s="273" t="s">
        <v>136</v>
      </c>
      <c r="D134" s="274"/>
      <c r="E134" s="275"/>
      <c r="F134" s="276"/>
      <c r="G134" s="40" t="s">
        <v>136</v>
      </c>
      <c r="H134" s="41"/>
      <c r="I134" s="53">
        <v>0</v>
      </c>
    </row>
    <row r="135" spans="1:9" hidden="1">
      <c r="A135" s="242" t="s">
        <v>137</v>
      </c>
      <c r="B135" s="277"/>
      <c r="C135" s="278" t="s">
        <v>136</v>
      </c>
      <c r="D135" s="279"/>
      <c r="E135" s="280"/>
      <c r="F135" s="281"/>
      <c r="G135" s="42" t="s">
        <v>136</v>
      </c>
      <c r="H135" s="43"/>
      <c r="I135" s="54">
        <v>0</v>
      </c>
    </row>
    <row r="136" spans="1:9" hidden="1">
      <c r="A136" s="242" t="s">
        <v>138</v>
      </c>
      <c r="B136" s="277"/>
      <c r="C136" s="278" t="s">
        <v>136</v>
      </c>
      <c r="D136" s="279"/>
      <c r="E136" s="280"/>
      <c r="F136" s="281"/>
      <c r="G136" s="42" t="s">
        <v>136</v>
      </c>
      <c r="H136" s="43"/>
      <c r="I136" s="54">
        <v>0</v>
      </c>
    </row>
    <row r="137" spans="1:9" hidden="1">
      <c r="A137" s="242" t="s">
        <v>139</v>
      </c>
      <c r="B137" s="277"/>
      <c r="C137" s="278" t="s">
        <v>136</v>
      </c>
      <c r="D137" s="279"/>
      <c r="E137" s="280"/>
      <c r="F137" s="281"/>
      <c r="G137" s="42" t="s">
        <v>136</v>
      </c>
      <c r="H137" s="43"/>
      <c r="I137" s="54">
        <v>0</v>
      </c>
    </row>
    <row r="138" spans="1:9" ht="13.6" hidden="1">
      <c r="A138" s="282"/>
      <c r="B138" s="258"/>
      <c r="C138" s="280"/>
      <c r="D138" s="281"/>
      <c r="E138" s="280"/>
      <c r="F138" s="281"/>
      <c r="G138" s="44"/>
      <c r="H138" s="45"/>
      <c r="I138" s="54"/>
    </row>
    <row r="139" spans="1:9" ht="13.6" hidden="1">
      <c r="A139" s="289"/>
      <c r="B139" s="290"/>
      <c r="C139" s="291"/>
      <c r="D139" s="292"/>
      <c r="E139" s="291"/>
      <c r="F139" s="292"/>
      <c r="G139" s="46"/>
      <c r="H139" s="47"/>
      <c r="I139" s="55"/>
    </row>
    <row r="140" spans="1:9" ht="13.6" hidden="1">
      <c r="A140" s="293" t="s">
        <v>140</v>
      </c>
      <c r="B140" s="294"/>
      <c r="C140" s="294"/>
      <c r="D140" s="294"/>
      <c r="E140" s="294"/>
      <c r="F140" s="294"/>
      <c r="G140" s="294"/>
      <c r="H140" s="295"/>
      <c r="I140" s="56">
        <f>SUM(I138:I139)</f>
        <v>0</v>
      </c>
    </row>
    <row r="141" spans="1:9" hidden="1"/>
    <row r="142" spans="1:9" ht="13.6" hidden="1">
      <c r="A142" s="4" t="s">
        <v>141</v>
      </c>
      <c r="B142" s="237" t="s">
        <v>142</v>
      </c>
      <c r="C142" s="237"/>
      <c r="D142" s="237"/>
      <c r="E142" s="237"/>
      <c r="F142" s="237"/>
      <c r="G142" s="237"/>
      <c r="H142" s="8"/>
      <c r="I142" s="8"/>
    </row>
    <row r="143" spans="1:9" ht="13.6" hidden="1">
      <c r="A143" s="296" t="s">
        <v>143</v>
      </c>
      <c r="B143" s="297"/>
      <c r="C143" s="297"/>
      <c r="D143" s="297"/>
      <c r="E143" s="297"/>
      <c r="F143" s="297"/>
      <c r="G143" s="297"/>
      <c r="H143" s="297"/>
      <c r="I143" s="298"/>
    </row>
    <row r="144" spans="1:9" ht="13.6" hidden="1">
      <c r="A144" s="48"/>
      <c r="B144" s="299" t="s">
        <v>144</v>
      </c>
      <c r="C144" s="300"/>
      <c r="D144" s="300"/>
      <c r="E144" s="300"/>
      <c r="F144" s="300"/>
      <c r="G144" s="300"/>
      <c r="H144" s="301"/>
      <c r="I144" s="52" t="s">
        <v>28</v>
      </c>
    </row>
    <row r="145" spans="1:9" hidden="1">
      <c r="A145" s="39" t="s">
        <v>2</v>
      </c>
      <c r="B145" s="302" t="s">
        <v>145</v>
      </c>
      <c r="C145" s="303"/>
      <c r="D145" s="303"/>
      <c r="E145" s="303"/>
      <c r="F145" s="303"/>
      <c r="G145" s="303"/>
      <c r="H145" s="304"/>
      <c r="I145" s="57" t="e">
        <f>I107</f>
        <v>#REF!</v>
      </c>
    </row>
    <row r="146" spans="1:9" hidden="1">
      <c r="A146" s="49" t="s">
        <v>4</v>
      </c>
      <c r="B146" s="251" t="s">
        <v>146</v>
      </c>
      <c r="C146" s="252"/>
      <c r="D146" s="252"/>
      <c r="E146" s="252"/>
      <c r="F146" s="252"/>
      <c r="G146" s="252"/>
      <c r="H146" s="253"/>
      <c r="I146" s="58" t="e">
        <f>#REF!</f>
        <v>#REF!</v>
      </c>
    </row>
    <row r="147" spans="1:9" hidden="1">
      <c r="A147" s="49" t="s">
        <v>7</v>
      </c>
      <c r="B147" s="283" t="s">
        <v>147</v>
      </c>
      <c r="C147" s="284"/>
      <c r="D147" s="284"/>
      <c r="E147" s="284"/>
      <c r="F147" s="284"/>
      <c r="G147" s="284"/>
      <c r="H147" s="285"/>
      <c r="I147" s="58" t="e">
        <f>I110</f>
        <v>#REF!</v>
      </c>
    </row>
    <row r="148" spans="1:9" ht="13.6" hidden="1">
      <c r="A148" s="286" t="s">
        <v>148</v>
      </c>
      <c r="B148" s="287"/>
      <c r="C148" s="287"/>
      <c r="D148" s="287"/>
      <c r="E148" s="287"/>
      <c r="F148" s="287"/>
      <c r="G148" s="287"/>
      <c r="H148" s="288"/>
      <c r="I148" s="56" t="e">
        <f>SUM(I145:I147)</f>
        <v>#REF!</v>
      </c>
    </row>
    <row r="149" spans="1:9" hidden="1">
      <c r="A149" s="4" t="s">
        <v>149</v>
      </c>
      <c r="B149" t="s">
        <v>150</v>
      </c>
    </row>
    <row r="150" spans="1:9" hidden="1"/>
    <row r="151" spans="1:9" hidden="1"/>
    <row r="152" spans="1:9" ht="13.6">
      <c r="A152" s="17" t="s">
        <v>151</v>
      </c>
      <c r="B152" s="17" t="e">
        <f>I130/I123</f>
        <v>#REF!</v>
      </c>
    </row>
    <row r="153" spans="1:9" ht="13.6">
      <c r="A153" s="36"/>
      <c r="B153" s="17"/>
      <c r="E153" s="50"/>
    </row>
    <row r="154" spans="1:9" ht="13.6">
      <c r="A154" s="17" t="s">
        <v>152</v>
      </c>
      <c r="B154" s="17"/>
      <c r="C154" s="36" t="e">
        <f>'Quantidade de Serventes'!E5*'Lucro Real'!I130</f>
        <v>#REF!</v>
      </c>
    </row>
    <row r="155" spans="1:9" ht="13.6">
      <c r="A155" s="17" t="s">
        <v>153</v>
      </c>
      <c r="B155" s="17"/>
      <c r="C155" s="36" t="e">
        <f>H8*C154</f>
        <v>#REF!</v>
      </c>
    </row>
    <row r="156" spans="1:9">
      <c r="A156" s="50"/>
    </row>
    <row r="157" spans="1:9">
      <c r="A157" s="50"/>
    </row>
  </sheetData>
  <mergeCells count="165">
    <mergeCell ref="B147:H147"/>
    <mergeCell ref="A148:H148"/>
    <mergeCell ref="A139:B139"/>
    <mergeCell ref="C139:D139"/>
    <mergeCell ref="E139:F139"/>
    <mergeCell ref="A140:H140"/>
    <mergeCell ref="B142:G142"/>
    <mergeCell ref="A143:I143"/>
    <mergeCell ref="B144:H144"/>
    <mergeCell ref="B145:H145"/>
    <mergeCell ref="B146:H146"/>
    <mergeCell ref="A136:B136"/>
    <mergeCell ref="C136:D136"/>
    <mergeCell ref="E136:F136"/>
    <mergeCell ref="A137:B137"/>
    <mergeCell ref="C137:D137"/>
    <mergeCell ref="E137:F137"/>
    <mergeCell ref="A138:B138"/>
    <mergeCell ref="C138:D138"/>
    <mergeCell ref="E138:F138"/>
    <mergeCell ref="A130:H130"/>
    <mergeCell ref="B132:G132"/>
    <mergeCell ref="A133:B133"/>
    <mergeCell ref="C133:D133"/>
    <mergeCell ref="E133:F133"/>
    <mergeCell ref="A134:B134"/>
    <mergeCell ref="C134:D134"/>
    <mergeCell ref="E134:F134"/>
    <mergeCell ref="A135:B135"/>
    <mergeCell ref="C135:D135"/>
    <mergeCell ref="E135:F135"/>
    <mergeCell ref="A121:I121"/>
    <mergeCell ref="A122:H122"/>
    <mergeCell ref="B123:H123"/>
    <mergeCell ref="B124:H124"/>
    <mergeCell ref="B125:H125"/>
    <mergeCell ref="B126:H126"/>
    <mergeCell ref="B127:H127"/>
    <mergeCell ref="B128:H128"/>
    <mergeCell ref="B129:H129"/>
    <mergeCell ref="B108:G108"/>
    <mergeCell ref="B109:G109"/>
    <mergeCell ref="A110:G110"/>
    <mergeCell ref="B111:I111"/>
    <mergeCell ref="B112:G112"/>
    <mergeCell ref="B113:G113"/>
    <mergeCell ref="B115:G115"/>
    <mergeCell ref="B117:G117"/>
    <mergeCell ref="B119:G119"/>
    <mergeCell ref="B99:G99"/>
    <mergeCell ref="A100:G100"/>
    <mergeCell ref="A101:I101"/>
    <mergeCell ref="A102:I102"/>
    <mergeCell ref="B103:G103"/>
    <mergeCell ref="B104:G104"/>
    <mergeCell ref="B105:G105"/>
    <mergeCell ref="B106:G106"/>
    <mergeCell ref="B107:G107"/>
    <mergeCell ref="B90:H90"/>
    <mergeCell ref="B91:H91"/>
    <mergeCell ref="A92:H92"/>
    <mergeCell ref="A93:I93"/>
    <mergeCell ref="A94:I94"/>
    <mergeCell ref="B95:G95"/>
    <mergeCell ref="B96:G96"/>
    <mergeCell ref="B97:G97"/>
    <mergeCell ref="B98:G98"/>
    <mergeCell ref="B81:G81"/>
    <mergeCell ref="A82:G82"/>
    <mergeCell ref="A83:I83"/>
    <mergeCell ref="A84:G84"/>
    <mergeCell ref="B85:G85"/>
    <mergeCell ref="A86:G86"/>
    <mergeCell ref="A87:I87"/>
    <mergeCell ref="A88:I88"/>
    <mergeCell ref="A89:H89"/>
    <mergeCell ref="A72:G72"/>
    <mergeCell ref="A73:I73"/>
    <mergeCell ref="A74:I74"/>
    <mergeCell ref="A75:G75"/>
    <mergeCell ref="B76:G76"/>
    <mergeCell ref="B77:G77"/>
    <mergeCell ref="B78:G78"/>
    <mergeCell ref="B79:G79"/>
    <mergeCell ref="B80:G80"/>
    <mergeCell ref="A63:I63"/>
    <mergeCell ref="A64:I64"/>
    <mergeCell ref="B65:G65"/>
    <mergeCell ref="B66:G66"/>
    <mergeCell ref="B67:G67"/>
    <mergeCell ref="B68:G68"/>
    <mergeCell ref="B69:G69"/>
    <mergeCell ref="B70:G70"/>
    <mergeCell ref="B71:G71"/>
    <mergeCell ref="B54:G54"/>
    <mergeCell ref="A55:H55"/>
    <mergeCell ref="A56:I56"/>
    <mergeCell ref="A57:I57"/>
    <mergeCell ref="A58:H58"/>
    <mergeCell ref="B59:H59"/>
    <mergeCell ref="B60:H60"/>
    <mergeCell ref="B61:H61"/>
    <mergeCell ref="A62:H62"/>
    <mergeCell ref="A46:G46"/>
    <mergeCell ref="A47:I47"/>
    <mergeCell ref="A48:G48"/>
    <mergeCell ref="B49:G49"/>
    <mergeCell ref="B50:G50"/>
    <mergeCell ref="B51:G51"/>
    <mergeCell ref="B52:G52"/>
    <mergeCell ref="B53:G53"/>
    <mergeCell ref="A37:G37"/>
    <mergeCell ref="B38:G38"/>
    <mergeCell ref="B39:G39"/>
    <mergeCell ref="B40:G40"/>
    <mergeCell ref="B41:G41"/>
    <mergeCell ref="B42:G42"/>
    <mergeCell ref="B43:G43"/>
    <mergeCell ref="B44:G44"/>
    <mergeCell ref="B45:G45"/>
    <mergeCell ref="B27:G27"/>
    <mergeCell ref="B28:G28"/>
    <mergeCell ref="A29:H29"/>
    <mergeCell ref="A31:I31"/>
    <mergeCell ref="A32:G32"/>
    <mergeCell ref="B33:G33"/>
    <mergeCell ref="B34:G34"/>
    <mergeCell ref="A35:G35"/>
    <mergeCell ref="A36:I36"/>
    <mergeCell ref="B19:G19"/>
    <mergeCell ref="H19:I19"/>
    <mergeCell ref="A20:I20"/>
    <mergeCell ref="A21:I21"/>
    <mergeCell ref="B22:G22"/>
    <mergeCell ref="B23:G23"/>
    <mergeCell ref="B24:G24"/>
    <mergeCell ref="B25:G25"/>
    <mergeCell ref="B26:G26"/>
    <mergeCell ref="A14:I14"/>
    <mergeCell ref="B15:G15"/>
    <mergeCell ref="H15:I15"/>
    <mergeCell ref="B16:G16"/>
    <mergeCell ref="H16:I16"/>
    <mergeCell ref="B17:G17"/>
    <mergeCell ref="H17:I17"/>
    <mergeCell ref="B18:G18"/>
    <mergeCell ref="H18:I18"/>
    <mergeCell ref="B8:G8"/>
    <mergeCell ref="H8:I8"/>
    <mergeCell ref="A10:I10"/>
    <mergeCell ref="A11:B11"/>
    <mergeCell ref="C11:D11"/>
    <mergeCell ref="E11:I11"/>
    <mergeCell ref="A12:B12"/>
    <mergeCell ref="C12:D12"/>
    <mergeCell ref="E12:I12"/>
    <mergeCell ref="A1:I1"/>
    <mergeCell ref="A2:I2"/>
    <mergeCell ref="A4:I4"/>
    <mergeCell ref="B5:G5"/>
    <mergeCell ref="H5:I5"/>
    <mergeCell ref="B6:G6"/>
    <mergeCell ref="H6:I6"/>
    <mergeCell ref="B7:G7"/>
    <mergeCell ref="H7:I7"/>
  </mergeCells>
  <pageMargins left="0.39305555555555599" right="0.196527777777778" top="0.59027777777777801" bottom="0.39305555555555599" header="0.156944444444444" footer="0.156944444444444"/>
  <pageSetup paperSize="9" scale="80" firstPageNumber="0" orientation="portrait" useFirstPageNumber="1" horizontalDpi="300" verticalDpi="300" r:id="rId1"/>
  <headerFooter alignWithMargins="0"/>
  <ignoredErrors>
    <ignoredError sqref="I6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K157"/>
  <sheetViews>
    <sheetView topLeftCell="A91" workbookViewId="0">
      <selection activeCell="L13" sqref="L13"/>
    </sheetView>
  </sheetViews>
  <sheetFormatPr defaultColWidth="9" defaultRowHeight="12.9"/>
  <cols>
    <col min="1" max="1" width="10" customWidth="1"/>
    <col min="3" max="3" width="15" customWidth="1"/>
    <col min="5" max="5" width="15" customWidth="1"/>
    <col min="7" max="7" width="19.125" customWidth="1"/>
    <col min="8" max="8" width="9.125" customWidth="1"/>
    <col min="9" max="9" width="12" customWidth="1"/>
    <col min="10" max="10" width="14.25" customWidth="1"/>
    <col min="11" max="11" width="9.125" customWidth="1"/>
    <col min="13" max="13" width="9.625" customWidth="1"/>
  </cols>
  <sheetData>
    <row r="1" spans="1:9">
      <c r="A1" s="237"/>
      <c r="B1" s="237"/>
      <c r="C1" s="237"/>
      <c r="D1" s="237"/>
      <c r="E1" s="237"/>
      <c r="F1" s="237"/>
      <c r="G1" s="237"/>
      <c r="H1" s="237"/>
      <c r="I1" s="237"/>
    </row>
    <row r="2" spans="1:9" ht="13.6">
      <c r="A2" s="238" t="s">
        <v>162</v>
      </c>
      <c r="B2" s="238"/>
      <c r="C2" s="238"/>
      <c r="D2" s="238"/>
      <c r="E2" s="238"/>
      <c r="F2" s="238"/>
      <c r="G2" s="238"/>
      <c r="H2" s="238"/>
      <c r="I2" s="238"/>
    </row>
    <row r="3" spans="1:9">
      <c r="A3" s="5"/>
      <c r="B3" s="5"/>
      <c r="C3" s="5"/>
      <c r="D3" s="5"/>
      <c r="E3" s="5"/>
      <c r="F3" s="5"/>
      <c r="G3" s="5"/>
      <c r="H3" s="5"/>
      <c r="I3" s="5"/>
    </row>
    <row r="4" spans="1:9" ht="13.6">
      <c r="A4" s="239" t="s">
        <v>1</v>
      </c>
      <c r="B4" s="239"/>
      <c r="C4" s="239"/>
      <c r="D4" s="239"/>
      <c r="E4" s="239"/>
      <c r="F4" s="239"/>
      <c r="G4" s="239"/>
      <c r="H4" s="239"/>
      <c r="I4" s="239"/>
    </row>
    <row r="5" spans="1:9">
      <c r="A5" s="2" t="s">
        <v>2</v>
      </c>
      <c r="B5" s="240" t="s">
        <v>3</v>
      </c>
      <c r="C5" s="240"/>
      <c r="D5" s="240"/>
      <c r="E5" s="240"/>
      <c r="F5" s="240"/>
      <c r="G5" s="240"/>
      <c r="H5" s="241">
        <v>44105</v>
      </c>
      <c r="I5" s="242"/>
    </row>
    <row r="6" spans="1:9">
      <c r="A6" s="2" t="s">
        <v>4</v>
      </c>
      <c r="B6" s="240" t="s">
        <v>5</v>
      </c>
      <c r="C6" s="240"/>
      <c r="D6" s="240"/>
      <c r="E6" s="240"/>
      <c r="F6" s="240"/>
      <c r="G6" s="240"/>
      <c r="H6" s="305" t="s">
        <v>157</v>
      </c>
      <c r="I6" s="242"/>
    </row>
    <row r="7" spans="1:9">
      <c r="A7" s="2" t="s">
        <v>7</v>
      </c>
      <c r="B7" s="240" t="s">
        <v>8</v>
      </c>
      <c r="C7" s="240"/>
      <c r="D7" s="240"/>
      <c r="E7" s="240"/>
      <c r="F7" s="240"/>
      <c r="G7" s="240"/>
      <c r="H7" s="305" t="s">
        <v>158</v>
      </c>
      <c r="I7" s="242"/>
    </row>
    <row r="8" spans="1:9">
      <c r="A8" s="2" t="s">
        <v>9</v>
      </c>
      <c r="B8" s="240" t="s">
        <v>10</v>
      </c>
      <c r="C8" s="240"/>
      <c r="D8" s="240"/>
      <c r="E8" s="240"/>
      <c r="F8" s="240"/>
      <c r="G8" s="240"/>
      <c r="H8" s="242">
        <v>12</v>
      </c>
      <c r="I8" s="242"/>
    </row>
    <row r="9" spans="1:9">
      <c r="A9" s="4"/>
      <c r="B9" s="5"/>
      <c r="C9" s="5"/>
      <c r="D9" s="5"/>
      <c r="E9" s="5"/>
      <c r="F9" s="5"/>
      <c r="G9" s="5"/>
      <c r="H9" s="4"/>
      <c r="I9" s="4"/>
    </row>
    <row r="10" spans="1:9" ht="13.6">
      <c r="A10" s="239" t="s">
        <v>11</v>
      </c>
      <c r="B10" s="239"/>
      <c r="C10" s="239"/>
      <c r="D10" s="239"/>
      <c r="E10" s="239"/>
      <c r="F10" s="239"/>
      <c r="G10" s="239"/>
      <c r="H10" s="239"/>
      <c r="I10" s="239"/>
    </row>
    <row r="11" spans="1:9">
      <c r="A11" s="242" t="s">
        <v>12</v>
      </c>
      <c r="B11" s="242"/>
      <c r="C11" s="242" t="s">
        <v>13</v>
      </c>
      <c r="D11" s="242"/>
      <c r="E11" s="242" t="s">
        <v>14</v>
      </c>
      <c r="F11" s="242"/>
      <c r="G11" s="242"/>
      <c r="H11" s="242"/>
      <c r="I11" s="242"/>
    </row>
    <row r="12" spans="1:9">
      <c r="A12" s="242" t="s">
        <v>15</v>
      </c>
      <c r="B12" s="242"/>
      <c r="C12" s="242" t="s">
        <v>16</v>
      </c>
      <c r="D12" s="242"/>
      <c r="E12" s="242">
        <v>2653.22</v>
      </c>
      <c r="F12" s="242"/>
      <c r="G12" s="242"/>
      <c r="H12" s="242"/>
      <c r="I12" s="242"/>
    </row>
    <row r="13" spans="1:9">
      <c r="A13" s="4"/>
      <c r="B13" s="5"/>
      <c r="C13" s="5"/>
      <c r="D13" s="5"/>
      <c r="E13" s="5"/>
      <c r="F13" s="5"/>
      <c r="G13" s="5"/>
      <c r="H13" s="4"/>
      <c r="I13" s="4"/>
    </row>
    <row r="14" spans="1:9" ht="13.6">
      <c r="A14" s="239" t="s">
        <v>17</v>
      </c>
      <c r="B14" s="239"/>
      <c r="C14" s="239"/>
      <c r="D14" s="239"/>
      <c r="E14" s="239"/>
      <c r="F14" s="239"/>
      <c r="G14" s="239"/>
      <c r="H14" s="239"/>
      <c r="I14" s="239"/>
    </row>
    <row r="15" spans="1:9">
      <c r="A15" s="2">
        <v>1</v>
      </c>
      <c r="B15" s="240" t="s">
        <v>18</v>
      </c>
      <c r="C15" s="240"/>
      <c r="D15" s="240"/>
      <c r="E15" s="240"/>
      <c r="F15" s="240"/>
      <c r="G15" s="240"/>
      <c r="H15" s="242" t="s">
        <v>15</v>
      </c>
      <c r="I15" s="242"/>
    </row>
    <row r="16" spans="1:9">
      <c r="A16" s="2">
        <v>2</v>
      </c>
      <c r="B16" s="240" t="s">
        <v>19</v>
      </c>
      <c r="C16" s="240"/>
      <c r="D16" s="240"/>
      <c r="E16" s="240"/>
      <c r="F16" s="240"/>
      <c r="G16" s="240"/>
      <c r="H16" s="242" t="s">
        <v>20</v>
      </c>
      <c r="I16" s="242"/>
    </row>
    <row r="17" spans="1:9">
      <c r="A17" s="2">
        <v>3</v>
      </c>
      <c r="B17" s="240" t="s">
        <v>21</v>
      </c>
      <c r="C17" s="240"/>
      <c r="D17" s="240"/>
      <c r="E17" s="240"/>
      <c r="F17" s="240"/>
      <c r="G17" s="240"/>
      <c r="H17" s="243">
        <v>1239</v>
      </c>
      <c r="I17" s="242"/>
    </row>
    <row r="18" spans="1:9">
      <c r="A18" s="2">
        <v>4</v>
      </c>
      <c r="B18" s="240" t="s">
        <v>22</v>
      </c>
      <c r="C18" s="240"/>
      <c r="D18" s="240"/>
      <c r="E18" s="240"/>
      <c r="F18" s="240"/>
      <c r="G18" s="240"/>
      <c r="H18" s="308" t="s">
        <v>159</v>
      </c>
      <c r="I18" s="308"/>
    </row>
    <row r="19" spans="1:9">
      <c r="A19" s="2">
        <v>5</v>
      </c>
      <c r="B19" s="240" t="s">
        <v>24</v>
      </c>
      <c r="C19" s="240"/>
      <c r="D19" s="240"/>
      <c r="E19" s="240"/>
      <c r="F19" s="240"/>
      <c r="G19" s="240"/>
      <c r="H19" s="306">
        <v>43891</v>
      </c>
      <c r="I19" s="307"/>
    </row>
    <row r="20" spans="1:9">
      <c r="A20" s="237"/>
      <c r="B20" s="237"/>
      <c r="C20" s="237"/>
      <c r="D20" s="237"/>
      <c r="E20" s="237"/>
      <c r="F20" s="237"/>
      <c r="G20" s="237"/>
      <c r="H20" s="237"/>
      <c r="I20" s="237"/>
    </row>
    <row r="21" spans="1:9" ht="13.6">
      <c r="A21" s="244" t="s">
        <v>25</v>
      </c>
      <c r="B21" s="244"/>
      <c r="C21" s="244"/>
      <c r="D21" s="244"/>
      <c r="E21" s="244"/>
      <c r="F21" s="244"/>
      <c r="G21" s="244"/>
      <c r="H21" s="244"/>
      <c r="I21" s="244"/>
    </row>
    <row r="22" spans="1:9" ht="13.6">
      <c r="A22" s="1">
        <v>1</v>
      </c>
      <c r="B22" s="245" t="s">
        <v>26</v>
      </c>
      <c r="C22" s="245"/>
      <c r="D22" s="245"/>
      <c r="E22" s="245"/>
      <c r="F22" s="245"/>
      <c r="G22" s="245"/>
      <c r="H22" s="1" t="s">
        <v>27</v>
      </c>
      <c r="I22" s="1" t="s">
        <v>28</v>
      </c>
    </row>
    <row r="23" spans="1:9" ht="13.6">
      <c r="A23" s="1" t="s">
        <v>2</v>
      </c>
      <c r="B23" s="240" t="s">
        <v>29</v>
      </c>
      <c r="C23" s="240"/>
      <c r="D23" s="240"/>
      <c r="E23" s="240"/>
      <c r="F23" s="240"/>
      <c r="G23" s="240"/>
      <c r="H23" s="3"/>
      <c r="I23" s="14">
        <f>H17</f>
        <v>1239</v>
      </c>
    </row>
    <row r="24" spans="1:9" ht="13.6">
      <c r="A24" s="1" t="s">
        <v>4</v>
      </c>
      <c r="B24" s="240" t="s">
        <v>30</v>
      </c>
      <c r="C24" s="240"/>
      <c r="D24" s="240"/>
      <c r="E24" s="240"/>
      <c r="F24" s="240"/>
      <c r="G24" s="240"/>
      <c r="H24" s="6"/>
      <c r="I24" s="14">
        <v>0</v>
      </c>
    </row>
    <row r="25" spans="1:9" ht="13.6">
      <c r="A25" s="1" t="s">
        <v>7</v>
      </c>
      <c r="B25" s="240" t="s">
        <v>31</v>
      </c>
      <c r="C25" s="240"/>
      <c r="D25" s="240"/>
      <c r="E25" s="240"/>
      <c r="F25" s="240"/>
      <c r="G25" s="240"/>
      <c r="H25" s="6"/>
      <c r="I25" s="14">
        <f>H25*I23</f>
        <v>0</v>
      </c>
    </row>
    <row r="26" spans="1:9" ht="13.6">
      <c r="A26" s="1" t="s">
        <v>9</v>
      </c>
      <c r="B26" s="240" t="s">
        <v>32</v>
      </c>
      <c r="C26" s="240"/>
      <c r="D26" s="240"/>
      <c r="E26" s="240"/>
      <c r="F26" s="240"/>
      <c r="G26" s="240"/>
      <c r="H26" s="6"/>
      <c r="I26" s="14">
        <v>0</v>
      </c>
    </row>
    <row r="27" spans="1:9" ht="13.6">
      <c r="A27" s="1" t="s">
        <v>33</v>
      </c>
      <c r="B27" s="240" t="s">
        <v>34</v>
      </c>
      <c r="C27" s="240"/>
      <c r="D27" s="240"/>
      <c r="E27" s="240"/>
      <c r="F27" s="240"/>
      <c r="G27" s="240"/>
      <c r="H27" s="7"/>
      <c r="I27" s="14">
        <v>0</v>
      </c>
    </row>
    <row r="28" spans="1:9" ht="13.6">
      <c r="A28" s="1" t="s">
        <v>35</v>
      </c>
      <c r="B28" s="240" t="s">
        <v>161</v>
      </c>
      <c r="C28" s="240"/>
      <c r="D28" s="240"/>
      <c r="E28" s="240"/>
      <c r="F28" s="240"/>
      <c r="G28" s="240"/>
      <c r="H28" s="6">
        <v>0.25</v>
      </c>
      <c r="I28" s="14">
        <f>I23*H28</f>
        <v>309.75</v>
      </c>
    </row>
    <row r="29" spans="1:9" ht="13.6">
      <c r="A29" s="245" t="s">
        <v>37</v>
      </c>
      <c r="B29" s="245"/>
      <c r="C29" s="245"/>
      <c r="D29" s="245"/>
      <c r="E29" s="245"/>
      <c r="F29" s="245"/>
      <c r="G29" s="245"/>
      <c r="H29" s="245"/>
      <c r="I29" s="15">
        <f>TRUNC(SUM(I23:I28),2)</f>
        <v>1548.75</v>
      </c>
    </row>
    <row r="30" spans="1:9" ht="13.6">
      <c r="A30" s="8"/>
      <c r="B30" s="8"/>
      <c r="C30" s="8"/>
      <c r="D30" s="8"/>
      <c r="E30" s="8"/>
      <c r="F30" s="8"/>
      <c r="G30" s="8"/>
      <c r="H30" s="8"/>
      <c r="I30" s="16"/>
    </row>
    <row r="31" spans="1:9" ht="13.6">
      <c r="A31" s="244" t="s">
        <v>38</v>
      </c>
      <c r="B31" s="244"/>
      <c r="C31" s="244"/>
      <c r="D31" s="244"/>
      <c r="E31" s="244"/>
      <c r="F31" s="244"/>
      <c r="G31" s="244"/>
      <c r="H31" s="244"/>
      <c r="I31" s="244"/>
    </row>
    <row r="32" spans="1:9" ht="13.6">
      <c r="A32" s="245" t="s">
        <v>39</v>
      </c>
      <c r="B32" s="245"/>
      <c r="C32" s="245"/>
      <c r="D32" s="245"/>
      <c r="E32" s="245"/>
      <c r="F32" s="245"/>
      <c r="G32" s="245"/>
      <c r="H32" s="1" t="s">
        <v>27</v>
      </c>
      <c r="I32" s="1" t="s">
        <v>28</v>
      </c>
    </row>
    <row r="33" spans="1:11" ht="13.6">
      <c r="A33" s="1" t="s">
        <v>2</v>
      </c>
      <c r="B33" s="240" t="s">
        <v>40</v>
      </c>
      <c r="C33" s="240"/>
      <c r="D33" s="240"/>
      <c r="E33" s="240"/>
      <c r="F33" s="240"/>
      <c r="G33" s="240"/>
      <c r="H33" s="9">
        <v>8.3299999999999999E-2</v>
      </c>
      <c r="I33" s="14">
        <f>$I$29*H33</f>
        <v>129.010875</v>
      </c>
    </row>
    <row r="34" spans="1:11" ht="13.6">
      <c r="A34" s="1" t="s">
        <v>4</v>
      </c>
      <c r="B34" s="240" t="s">
        <v>41</v>
      </c>
      <c r="C34" s="240"/>
      <c r="D34" s="240"/>
      <c r="E34" s="240"/>
      <c r="F34" s="240"/>
      <c r="G34" s="240"/>
      <c r="H34" s="10">
        <v>0.1111</v>
      </c>
      <c r="I34" s="14">
        <f>H34*I29</f>
        <v>172.066125</v>
      </c>
    </row>
    <row r="35" spans="1:11" ht="13.6">
      <c r="A35" s="245" t="s">
        <v>42</v>
      </c>
      <c r="B35" s="245"/>
      <c r="C35" s="245"/>
      <c r="D35" s="245"/>
      <c r="E35" s="245"/>
      <c r="F35" s="245"/>
      <c r="G35" s="245"/>
      <c r="H35" s="11">
        <f>TRUNC(SUM(H33:H34),4)</f>
        <v>0.19439999999999999</v>
      </c>
      <c r="I35" s="15">
        <f>TRUNC(SUM(I33:I34),2)</f>
        <v>301.07</v>
      </c>
    </row>
    <row r="36" spans="1:11" ht="13.6">
      <c r="A36" s="246"/>
      <c r="B36" s="247"/>
      <c r="C36" s="247"/>
      <c r="D36" s="247"/>
      <c r="E36" s="247"/>
      <c r="F36" s="247"/>
      <c r="G36" s="247"/>
      <c r="H36" s="247"/>
      <c r="I36" s="247"/>
      <c r="J36" s="17" t="s">
        <v>43</v>
      </c>
      <c r="K36" s="16">
        <f>I29+I35</f>
        <v>1849.82</v>
      </c>
    </row>
    <row r="37" spans="1:11" ht="13.6">
      <c r="A37" s="245" t="s">
        <v>44</v>
      </c>
      <c r="B37" s="245"/>
      <c r="C37" s="245"/>
      <c r="D37" s="245"/>
      <c r="E37" s="245"/>
      <c r="F37" s="245"/>
      <c r="G37" s="245"/>
      <c r="H37" s="1" t="s">
        <v>27</v>
      </c>
      <c r="I37" s="1" t="s">
        <v>28</v>
      </c>
    </row>
    <row r="38" spans="1:11" ht="13.6">
      <c r="A38" s="1" t="s">
        <v>2</v>
      </c>
      <c r="B38" s="240" t="s">
        <v>45</v>
      </c>
      <c r="C38" s="240"/>
      <c r="D38" s="240"/>
      <c r="E38" s="240"/>
      <c r="F38" s="240"/>
      <c r="G38" s="240"/>
      <c r="H38" s="9">
        <v>0.2</v>
      </c>
      <c r="I38" s="14">
        <f>H38*$K$36</f>
        <v>369.964</v>
      </c>
    </row>
    <row r="39" spans="1:11" ht="13.6">
      <c r="A39" s="1" t="s">
        <v>4</v>
      </c>
      <c r="B39" s="240" t="s">
        <v>46</v>
      </c>
      <c r="C39" s="240"/>
      <c r="D39" s="240"/>
      <c r="E39" s="240"/>
      <c r="F39" s="240"/>
      <c r="G39" s="240"/>
      <c r="H39" s="9">
        <v>2.2499999999999999E-2</v>
      </c>
      <c r="I39" s="14">
        <f t="shared" ref="I39:I45" si="0">H39*$K$36</f>
        <v>41.620950000000001</v>
      </c>
    </row>
    <row r="40" spans="1:11" ht="13.6">
      <c r="A40" s="1" t="s">
        <v>7</v>
      </c>
      <c r="B40" s="240" t="s">
        <v>47</v>
      </c>
      <c r="C40" s="240"/>
      <c r="D40" s="240"/>
      <c r="E40" s="240"/>
      <c r="F40" s="240"/>
      <c r="G40" s="240"/>
      <c r="H40" s="12">
        <v>0.03</v>
      </c>
      <c r="I40" s="14">
        <f t="shared" si="0"/>
        <v>55.494599999999998</v>
      </c>
    </row>
    <row r="41" spans="1:11" ht="13.6">
      <c r="A41" s="1" t="s">
        <v>9</v>
      </c>
      <c r="B41" s="240" t="s">
        <v>48</v>
      </c>
      <c r="C41" s="240"/>
      <c r="D41" s="240"/>
      <c r="E41" s="240"/>
      <c r="F41" s="240"/>
      <c r="G41" s="240"/>
      <c r="H41" s="9">
        <v>1.4999999999999999E-2</v>
      </c>
      <c r="I41" s="14">
        <f t="shared" si="0"/>
        <v>27.747299999999999</v>
      </c>
    </row>
    <row r="42" spans="1:11" ht="13.6">
      <c r="A42" s="1" t="s">
        <v>33</v>
      </c>
      <c r="B42" s="240" t="s">
        <v>49</v>
      </c>
      <c r="C42" s="240"/>
      <c r="D42" s="240"/>
      <c r="E42" s="240"/>
      <c r="F42" s="240"/>
      <c r="G42" s="240"/>
      <c r="H42" s="9">
        <v>0.01</v>
      </c>
      <c r="I42" s="14">
        <f t="shared" si="0"/>
        <v>18.498200000000001</v>
      </c>
    </row>
    <row r="43" spans="1:11" ht="13.6">
      <c r="A43" s="1" t="s">
        <v>35</v>
      </c>
      <c r="B43" s="240" t="s">
        <v>50</v>
      </c>
      <c r="C43" s="240"/>
      <c r="D43" s="240"/>
      <c r="E43" s="240"/>
      <c r="F43" s="240"/>
      <c r="G43" s="240"/>
      <c r="H43" s="9">
        <v>6.0000000000000001E-3</v>
      </c>
      <c r="I43" s="14">
        <f t="shared" si="0"/>
        <v>11.09892</v>
      </c>
    </row>
    <row r="44" spans="1:11" ht="13.6">
      <c r="A44" s="1" t="s">
        <v>51</v>
      </c>
      <c r="B44" s="240" t="s">
        <v>52</v>
      </c>
      <c r="C44" s="240"/>
      <c r="D44" s="240"/>
      <c r="E44" s="240"/>
      <c r="F44" s="240"/>
      <c r="G44" s="240"/>
      <c r="H44" s="9">
        <v>2E-3</v>
      </c>
      <c r="I44" s="14">
        <f t="shared" si="0"/>
        <v>3.69964</v>
      </c>
    </row>
    <row r="45" spans="1:11" ht="13.6">
      <c r="A45" s="1" t="s">
        <v>53</v>
      </c>
      <c r="B45" s="240" t="s">
        <v>54</v>
      </c>
      <c r="C45" s="240"/>
      <c r="D45" s="240"/>
      <c r="E45" s="240"/>
      <c r="F45" s="240"/>
      <c r="G45" s="240"/>
      <c r="H45" s="9">
        <v>0.08</v>
      </c>
      <c r="I45" s="14">
        <f t="shared" si="0"/>
        <v>147.98560000000001</v>
      </c>
    </row>
    <row r="46" spans="1:11" ht="13.6">
      <c r="A46" s="245" t="s">
        <v>55</v>
      </c>
      <c r="B46" s="245"/>
      <c r="C46" s="245"/>
      <c r="D46" s="245"/>
      <c r="E46" s="245"/>
      <c r="F46" s="245"/>
      <c r="G46" s="245"/>
      <c r="H46" s="11">
        <f>SUM(H38:H45)</f>
        <v>0.36550000000000005</v>
      </c>
      <c r="I46" s="15">
        <f>TRUNC(SUM(I38:I45),2)</f>
        <v>676.1</v>
      </c>
    </row>
    <row r="47" spans="1:11" ht="13.6">
      <c r="A47" s="248"/>
      <c r="B47" s="248"/>
      <c r="C47" s="248"/>
      <c r="D47" s="248"/>
      <c r="E47" s="248"/>
      <c r="F47" s="248"/>
      <c r="G47" s="248"/>
      <c r="H47" s="248"/>
      <c r="I47" s="249"/>
    </row>
    <row r="48" spans="1:11" ht="13.6">
      <c r="A48" s="245" t="s">
        <v>56</v>
      </c>
      <c r="B48" s="245"/>
      <c r="C48" s="245"/>
      <c r="D48" s="245"/>
      <c r="E48" s="245"/>
      <c r="F48" s="245"/>
      <c r="G48" s="245"/>
      <c r="H48" s="11"/>
      <c r="I48" s="1" t="s">
        <v>28</v>
      </c>
    </row>
    <row r="49" spans="1:9" ht="13.6">
      <c r="A49" s="1" t="s">
        <v>2</v>
      </c>
      <c r="B49" s="250" t="s">
        <v>57</v>
      </c>
      <c r="C49" s="250"/>
      <c r="D49" s="250"/>
      <c r="E49" s="250"/>
      <c r="F49" s="250"/>
      <c r="G49" s="250"/>
      <c r="H49" s="2" t="s">
        <v>58</v>
      </c>
      <c r="I49" s="18">
        <f>(4.05*2*23)-(I23*0.06)</f>
        <v>111.95999999999998</v>
      </c>
    </row>
    <row r="50" spans="1:9" ht="13.6">
      <c r="A50" s="1" t="s">
        <v>4</v>
      </c>
      <c r="B50" s="250" t="s">
        <v>59</v>
      </c>
      <c r="C50" s="250"/>
      <c r="D50" s="250"/>
      <c r="E50" s="250"/>
      <c r="F50" s="250"/>
      <c r="G50" s="250"/>
      <c r="H50" s="2" t="s">
        <v>58</v>
      </c>
      <c r="I50" s="18">
        <f>18*22*0.9</f>
        <v>356.40000000000003</v>
      </c>
    </row>
    <row r="51" spans="1:9" ht="13.6">
      <c r="A51" s="1" t="s">
        <v>7</v>
      </c>
      <c r="B51" s="250" t="s">
        <v>60</v>
      </c>
      <c r="C51" s="250"/>
      <c r="D51" s="250"/>
      <c r="E51" s="250"/>
      <c r="F51" s="250"/>
      <c r="G51" s="250"/>
      <c r="H51" s="2" t="s">
        <v>58</v>
      </c>
      <c r="I51" s="18">
        <v>0</v>
      </c>
    </row>
    <row r="52" spans="1:9" ht="13.6">
      <c r="A52" s="1" t="s">
        <v>9</v>
      </c>
      <c r="B52" s="251" t="s">
        <v>155</v>
      </c>
      <c r="C52" s="252"/>
      <c r="D52" s="252"/>
      <c r="E52" s="252"/>
      <c r="F52" s="252"/>
      <c r="G52" s="253"/>
      <c r="H52" s="2" t="s">
        <v>58</v>
      </c>
      <c r="I52" s="18">
        <v>5.35</v>
      </c>
    </row>
    <row r="53" spans="1:9" ht="13.6">
      <c r="A53" s="1" t="s">
        <v>33</v>
      </c>
      <c r="B53" s="251" t="s">
        <v>156</v>
      </c>
      <c r="C53" s="252"/>
      <c r="D53" s="252"/>
      <c r="E53" s="252"/>
      <c r="F53" s="252"/>
      <c r="G53" s="253"/>
      <c r="H53" s="2" t="s">
        <v>58</v>
      </c>
      <c r="I53" s="18">
        <f>40/12</f>
        <v>3.3333333333333335</v>
      </c>
    </row>
    <row r="54" spans="1:9" ht="13.6">
      <c r="A54" s="1" t="s">
        <v>35</v>
      </c>
      <c r="B54" s="250" t="s">
        <v>61</v>
      </c>
      <c r="C54" s="250"/>
      <c r="D54" s="250"/>
      <c r="E54" s="250"/>
      <c r="F54" s="250"/>
      <c r="G54" s="250"/>
      <c r="H54" s="2" t="s">
        <v>58</v>
      </c>
      <c r="I54" s="18">
        <v>0</v>
      </c>
    </row>
    <row r="55" spans="1:9" ht="13.6">
      <c r="A55" s="245" t="s">
        <v>62</v>
      </c>
      <c r="B55" s="245"/>
      <c r="C55" s="245"/>
      <c r="D55" s="245"/>
      <c r="E55" s="245"/>
      <c r="F55" s="245"/>
      <c r="G55" s="245"/>
      <c r="H55" s="245"/>
      <c r="I55" s="15">
        <f>TRUNC(SUM(I49:I54),2)</f>
        <v>477.04</v>
      </c>
    </row>
    <row r="56" spans="1:9" ht="13.6">
      <c r="A56" s="248"/>
      <c r="B56" s="248"/>
      <c r="C56" s="248"/>
      <c r="D56" s="248"/>
      <c r="E56" s="248"/>
      <c r="F56" s="248"/>
      <c r="G56" s="248"/>
      <c r="H56" s="248"/>
      <c r="I56" s="249"/>
    </row>
    <row r="57" spans="1:9" ht="13.6">
      <c r="A57" s="254" t="s">
        <v>63</v>
      </c>
      <c r="B57" s="254"/>
      <c r="C57" s="254"/>
      <c r="D57" s="254"/>
      <c r="E57" s="254"/>
      <c r="F57" s="254"/>
      <c r="G57" s="254"/>
      <c r="H57" s="254"/>
      <c r="I57" s="254"/>
    </row>
    <row r="58" spans="1:9" ht="13.6">
      <c r="A58" s="245" t="s">
        <v>64</v>
      </c>
      <c r="B58" s="245"/>
      <c r="C58" s="245"/>
      <c r="D58" s="245"/>
      <c r="E58" s="245"/>
      <c r="F58" s="245"/>
      <c r="G58" s="245"/>
      <c r="H58" s="245"/>
      <c r="I58" s="1" t="s">
        <v>28</v>
      </c>
    </row>
    <row r="59" spans="1:9" ht="13.6">
      <c r="A59" s="1" t="s">
        <v>65</v>
      </c>
      <c r="B59" s="242" t="s">
        <v>66</v>
      </c>
      <c r="C59" s="242"/>
      <c r="D59" s="242"/>
      <c r="E59" s="242"/>
      <c r="F59" s="242"/>
      <c r="G59" s="242"/>
      <c r="H59" s="242"/>
      <c r="I59" s="14">
        <f>I35</f>
        <v>301.07</v>
      </c>
    </row>
    <row r="60" spans="1:9" ht="13.6">
      <c r="A60" s="1" t="s">
        <v>67</v>
      </c>
      <c r="B60" s="242" t="s">
        <v>68</v>
      </c>
      <c r="C60" s="242"/>
      <c r="D60" s="242"/>
      <c r="E60" s="242"/>
      <c r="F60" s="242"/>
      <c r="G60" s="242"/>
      <c r="H60" s="242"/>
      <c r="I60" s="14">
        <f>I46</f>
        <v>676.1</v>
      </c>
    </row>
    <row r="61" spans="1:9" ht="13.6">
      <c r="A61" s="1" t="s">
        <v>69</v>
      </c>
      <c r="B61" s="242" t="s">
        <v>70</v>
      </c>
      <c r="C61" s="242"/>
      <c r="D61" s="242"/>
      <c r="E61" s="242"/>
      <c r="F61" s="242"/>
      <c r="G61" s="242"/>
      <c r="H61" s="242"/>
      <c r="I61" s="14">
        <f>I55</f>
        <v>477.04</v>
      </c>
    </row>
    <row r="62" spans="1:9" ht="13.6">
      <c r="A62" s="245" t="s">
        <v>71</v>
      </c>
      <c r="B62" s="245"/>
      <c r="C62" s="245"/>
      <c r="D62" s="245"/>
      <c r="E62" s="245"/>
      <c r="F62" s="245"/>
      <c r="G62" s="245"/>
      <c r="H62" s="245"/>
      <c r="I62" s="15">
        <f>TRUNC(SUM(I59:I61),2)</f>
        <v>1454.21</v>
      </c>
    </row>
    <row r="63" spans="1:9" ht="13.6">
      <c r="A63" s="255"/>
      <c r="B63" s="256"/>
      <c r="C63" s="256"/>
      <c r="D63" s="256"/>
      <c r="E63" s="256"/>
      <c r="F63" s="256"/>
      <c r="G63" s="256"/>
      <c r="H63" s="256"/>
      <c r="I63" s="256"/>
    </row>
    <row r="64" spans="1:9" ht="13.6">
      <c r="A64" s="244" t="s">
        <v>72</v>
      </c>
      <c r="B64" s="244"/>
      <c r="C64" s="244"/>
      <c r="D64" s="244"/>
      <c r="E64" s="244"/>
      <c r="F64" s="244"/>
      <c r="G64" s="244"/>
      <c r="H64" s="244"/>
      <c r="I64" s="244"/>
    </row>
    <row r="65" spans="1:11" ht="13.6">
      <c r="A65" s="1">
        <v>3</v>
      </c>
      <c r="B65" s="245" t="s">
        <v>73</v>
      </c>
      <c r="C65" s="245"/>
      <c r="D65" s="245"/>
      <c r="E65" s="245"/>
      <c r="F65" s="245"/>
      <c r="G65" s="245"/>
      <c r="H65" s="1" t="s">
        <v>27</v>
      </c>
      <c r="I65" s="1" t="s">
        <v>28</v>
      </c>
    </row>
    <row r="66" spans="1:11" ht="13.6">
      <c r="A66" s="1" t="s">
        <v>2</v>
      </c>
      <c r="B66" s="240" t="s">
        <v>74</v>
      </c>
      <c r="C66" s="240"/>
      <c r="D66" s="240"/>
      <c r="E66" s="240"/>
      <c r="F66" s="240"/>
      <c r="G66" s="240"/>
      <c r="H66" s="9">
        <v>4.1999999999999997E-3</v>
      </c>
      <c r="I66" s="14">
        <f>$I$29*H66</f>
        <v>6.5047499999999996</v>
      </c>
    </row>
    <row r="67" spans="1:11" ht="13.6">
      <c r="A67" s="1" t="s">
        <v>4</v>
      </c>
      <c r="B67" s="240" t="s">
        <v>75</v>
      </c>
      <c r="C67" s="240"/>
      <c r="D67" s="240"/>
      <c r="E67" s="240"/>
      <c r="F67" s="240"/>
      <c r="G67" s="240"/>
      <c r="H67" s="19">
        <f>0.08*H66</f>
        <v>3.3599999999999998E-4</v>
      </c>
      <c r="I67" s="14">
        <f>H67*I29</f>
        <v>0.52037999999999995</v>
      </c>
    </row>
    <row r="68" spans="1:11" ht="13.6">
      <c r="A68" s="1" t="s">
        <v>7</v>
      </c>
      <c r="B68" s="240" t="s">
        <v>76</v>
      </c>
      <c r="C68" s="240"/>
      <c r="D68" s="240"/>
      <c r="E68" s="240"/>
      <c r="F68" s="240"/>
      <c r="G68" s="240"/>
      <c r="H68" s="12">
        <f>0.5*H67</f>
        <v>1.6799999999999999E-4</v>
      </c>
      <c r="I68" s="14">
        <f>$I$29*H68</f>
        <v>0.26018999999999998</v>
      </c>
    </row>
    <row r="69" spans="1:11" ht="13.6">
      <c r="A69" s="1" t="s">
        <v>9</v>
      </c>
      <c r="B69" s="240" t="s">
        <v>77</v>
      </c>
      <c r="C69" s="240"/>
      <c r="D69" s="240"/>
      <c r="E69" s="240"/>
      <c r="F69" s="240"/>
      <c r="G69" s="240"/>
      <c r="H69" s="9">
        <v>1.9400000000000001E-2</v>
      </c>
      <c r="I69" s="14">
        <f>$I$29*H69</f>
        <v>30.045750000000002</v>
      </c>
    </row>
    <row r="70" spans="1:11" ht="13.6">
      <c r="A70" s="1" t="s">
        <v>33</v>
      </c>
      <c r="B70" s="257" t="s">
        <v>78</v>
      </c>
      <c r="C70" s="257"/>
      <c r="D70" s="257"/>
      <c r="E70" s="257"/>
      <c r="F70" s="257"/>
      <c r="G70" s="257"/>
      <c r="H70" s="62">
        <f>H46*H69</f>
        <v>7.090700000000001E-3</v>
      </c>
      <c r="I70" s="63">
        <f t="shared" ref="I70:I71" si="1">$I$29*H70</f>
        <v>10.981721625000002</v>
      </c>
    </row>
    <row r="71" spans="1:11" ht="13.6">
      <c r="A71" s="1" t="s">
        <v>35</v>
      </c>
      <c r="B71" s="240" t="s">
        <v>79</v>
      </c>
      <c r="C71" s="240"/>
      <c r="D71" s="240"/>
      <c r="E71" s="240"/>
      <c r="F71" s="240"/>
      <c r="G71" s="240"/>
      <c r="H71" s="12">
        <f>0.5*0.08*H69</f>
        <v>7.76E-4</v>
      </c>
      <c r="I71" s="14">
        <f t="shared" si="1"/>
        <v>1.20183</v>
      </c>
    </row>
    <row r="72" spans="1:11" ht="13.6">
      <c r="A72" s="245" t="s">
        <v>80</v>
      </c>
      <c r="B72" s="245"/>
      <c r="C72" s="245"/>
      <c r="D72" s="245"/>
      <c r="E72" s="245"/>
      <c r="F72" s="245"/>
      <c r="G72" s="245"/>
      <c r="H72" s="11">
        <f>TRUNC(SUM(H66:H71),4)</f>
        <v>3.1899999999999998E-2</v>
      </c>
      <c r="I72" s="15">
        <f>TRUNC(SUM(I66:I71),2)</f>
        <v>49.51</v>
      </c>
    </row>
    <row r="73" spans="1:11" ht="13.6">
      <c r="A73" s="258"/>
      <c r="B73" s="259"/>
      <c r="C73" s="259"/>
      <c r="D73" s="259"/>
      <c r="E73" s="259"/>
      <c r="F73" s="259"/>
      <c r="G73" s="259"/>
      <c r="H73" s="259"/>
      <c r="I73" s="259"/>
    </row>
    <row r="74" spans="1:11" ht="13.6">
      <c r="A74" s="244" t="s">
        <v>81</v>
      </c>
      <c r="B74" s="244"/>
      <c r="C74" s="244"/>
      <c r="D74" s="244"/>
      <c r="E74" s="244"/>
      <c r="F74" s="244"/>
      <c r="G74" s="244"/>
      <c r="H74" s="244"/>
      <c r="I74" s="244"/>
    </row>
    <row r="75" spans="1:11" ht="13.6">
      <c r="A75" s="245" t="s">
        <v>82</v>
      </c>
      <c r="B75" s="245"/>
      <c r="C75" s="245"/>
      <c r="D75" s="245"/>
      <c r="E75" s="245"/>
      <c r="F75" s="245"/>
      <c r="G75" s="245"/>
      <c r="H75" s="1" t="s">
        <v>27</v>
      </c>
      <c r="I75" s="1" t="s">
        <v>28</v>
      </c>
    </row>
    <row r="76" spans="1:11" ht="13.6">
      <c r="A76" s="1" t="s">
        <v>2</v>
      </c>
      <c r="B76" s="240" t="s">
        <v>83</v>
      </c>
      <c r="C76" s="240"/>
      <c r="D76" s="240"/>
      <c r="E76" s="240"/>
      <c r="F76" s="240"/>
      <c r="G76" s="240"/>
      <c r="H76" s="9">
        <v>8.3299999999999999E-2</v>
      </c>
      <c r="I76" s="14">
        <f t="shared" ref="I76:I81" si="2">$I$29*H76</f>
        <v>129.010875</v>
      </c>
    </row>
    <row r="77" spans="1:11" ht="13.6">
      <c r="A77" s="1" t="s">
        <v>4</v>
      </c>
      <c r="B77" s="240" t="s">
        <v>84</v>
      </c>
      <c r="C77" s="240"/>
      <c r="D77" s="240"/>
      <c r="E77" s="240"/>
      <c r="F77" s="240"/>
      <c r="G77" s="240"/>
      <c r="H77" s="9">
        <v>8.2000000000000007E-3</v>
      </c>
      <c r="I77" s="14">
        <f t="shared" si="2"/>
        <v>12.699750000000002</v>
      </c>
    </row>
    <row r="78" spans="1:11" ht="13.6">
      <c r="A78" s="1" t="s">
        <v>7</v>
      </c>
      <c r="B78" s="240" t="s">
        <v>85</v>
      </c>
      <c r="C78" s="240"/>
      <c r="D78" s="240"/>
      <c r="E78" s="240"/>
      <c r="F78" s="240"/>
      <c r="G78" s="240"/>
      <c r="H78" s="9">
        <v>2.0000000000000001E-4</v>
      </c>
      <c r="I78" s="14">
        <f t="shared" si="2"/>
        <v>0.30975000000000003</v>
      </c>
    </row>
    <row r="79" spans="1:11" ht="13.6">
      <c r="A79" s="1" t="s">
        <v>9</v>
      </c>
      <c r="B79" s="240" t="s">
        <v>86</v>
      </c>
      <c r="C79" s="240"/>
      <c r="D79" s="240"/>
      <c r="E79" s="240"/>
      <c r="F79" s="240"/>
      <c r="G79" s="240"/>
      <c r="H79" s="9">
        <v>2.9999999999999997E-4</v>
      </c>
      <c r="I79" s="14">
        <f t="shared" si="2"/>
        <v>0.46462499999999995</v>
      </c>
    </row>
    <row r="80" spans="1:11" ht="13.6">
      <c r="A80" s="1" t="s">
        <v>33</v>
      </c>
      <c r="B80" s="240" t="s">
        <v>87</v>
      </c>
      <c r="C80" s="240"/>
      <c r="D80" s="240"/>
      <c r="E80" s="240"/>
      <c r="F80" s="240"/>
      <c r="G80" s="240"/>
      <c r="H80" s="9">
        <v>6.1000000000000004E-3</v>
      </c>
      <c r="I80" s="14">
        <f t="shared" si="2"/>
        <v>9.447375000000001</v>
      </c>
      <c r="K80" s="31"/>
    </row>
    <row r="81" spans="1:9" ht="13.6">
      <c r="A81" s="1" t="s">
        <v>35</v>
      </c>
      <c r="B81" s="240" t="s">
        <v>88</v>
      </c>
      <c r="C81" s="240"/>
      <c r="D81" s="240"/>
      <c r="E81" s="240"/>
      <c r="F81" s="240"/>
      <c r="G81" s="240"/>
      <c r="H81" s="9">
        <v>0</v>
      </c>
      <c r="I81" s="14">
        <f t="shared" si="2"/>
        <v>0</v>
      </c>
    </row>
    <row r="82" spans="1:9" ht="13.6">
      <c r="A82" s="245" t="s">
        <v>89</v>
      </c>
      <c r="B82" s="245"/>
      <c r="C82" s="245"/>
      <c r="D82" s="245"/>
      <c r="E82" s="245"/>
      <c r="F82" s="245"/>
      <c r="G82" s="245"/>
      <c r="H82" s="11">
        <f>TRUNC(SUM(H76:H81),4)</f>
        <v>9.8100000000000007E-2</v>
      </c>
      <c r="I82" s="15">
        <f>TRUNC(SUM(I76:I81),2)</f>
        <v>151.93</v>
      </c>
    </row>
    <row r="83" spans="1:9" ht="13.6">
      <c r="A83" s="260"/>
      <c r="B83" s="261"/>
      <c r="C83" s="261"/>
      <c r="D83" s="261"/>
      <c r="E83" s="261"/>
      <c r="F83" s="261"/>
      <c r="G83" s="261"/>
      <c r="H83" s="261"/>
      <c r="I83" s="261"/>
    </row>
    <row r="84" spans="1:9" ht="13.6">
      <c r="A84" s="245" t="s">
        <v>90</v>
      </c>
      <c r="B84" s="245"/>
      <c r="C84" s="245"/>
      <c r="D84" s="245"/>
      <c r="E84" s="245"/>
      <c r="F84" s="245"/>
      <c r="G84" s="245"/>
      <c r="H84" s="1" t="s">
        <v>27</v>
      </c>
      <c r="I84" s="1" t="s">
        <v>28</v>
      </c>
    </row>
    <row r="85" spans="1:9" ht="13.6">
      <c r="A85" s="1" t="s">
        <v>2</v>
      </c>
      <c r="B85" s="240" t="s">
        <v>91</v>
      </c>
      <c r="C85" s="240"/>
      <c r="D85" s="240"/>
      <c r="E85" s="240"/>
      <c r="F85" s="240"/>
      <c r="G85" s="240"/>
      <c r="H85" s="9">
        <v>0</v>
      </c>
      <c r="I85" s="14">
        <f t="shared" ref="I85" si="3">$I$29*H85</f>
        <v>0</v>
      </c>
    </row>
    <row r="86" spans="1:9" ht="13.6">
      <c r="A86" s="245" t="s">
        <v>92</v>
      </c>
      <c r="B86" s="245"/>
      <c r="C86" s="245"/>
      <c r="D86" s="245"/>
      <c r="E86" s="245"/>
      <c r="F86" s="245"/>
      <c r="G86" s="245"/>
      <c r="H86" s="11">
        <f>TRUNC(SUM(H85),4)</f>
        <v>0</v>
      </c>
      <c r="I86" s="15">
        <f>TRUNC(SUM(I85),2)</f>
        <v>0</v>
      </c>
    </row>
    <row r="87" spans="1:9" ht="13.6">
      <c r="A87" s="262"/>
      <c r="B87" s="263"/>
      <c r="C87" s="263"/>
      <c r="D87" s="263"/>
      <c r="E87" s="263"/>
      <c r="F87" s="263"/>
      <c r="G87" s="263"/>
      <c r="H87" s="263"/>
      <c r="I87" s="263"/>
    </row>
    <row r="88" spans="1:9" ht="13.6">
      <c r="A88" s="254" t="s">
        <v>93</v>
      </c>
      <c r="B88" s="254"/>
      <c r="C88" s="254"/>
      <c r="D88" s="254"/>
      <c r="E88" s="254"/>
      <c r="F88" s="254"/>
      <c r="G88" s="254"/>
      <c r="H88" s="254"/>
      <c r="I88" s="254"/>
    </row>
    <row r="89" spans="1:9" ht="13.6">
      <c r="A89" s="245" t="s">
        <v>94</v>
      </c>
      <c r="B89" s="245"/>
      <c r="C89" s="245"/>
      <c r="D89" s="245"/>
      <c r="E89" s="245"/>
      <c r="F89" s="245"/>
      <c r="G89" s="245"/>
      <c r="H89" s="245"/>
      <c r="I89" s="1" t="s">
        <v>28</v>
      </c>
    </row>
    <row r="90" spans="1:9" ht="13.6">
      <c r="A90" s="1" t="s">
        <v>95</v>
      </c>
      <c r="B90" s="242" t="s">
        <v>96</v>
      </c>
      <c r="C90" s="242"/>
      <c r="D90" s="242"/>
      <c r="E90" s="242"/>
      <c r="F90" s="242"/>
      <c r="G90" s="242"/>
      <c r="H90" s="242"/>
      <c r="I90" s="14">
        <f>I82</f>
        <v>151.93</v>
      </c>
    </row>
    <row r="91" spans="1:9" ht="13.6">
      <c r="A91" s="1" t="s">
        <v>97</v>
      </c>
      <c r="B91" s="242" t="s">
        <v>98</v>
      </c>
      <c r="C91" s="242"/>
      <c r="D91" s="242"/>
      <c r="E91" s="242"/>
      <c r="F91" s="242"/>
      <c r="G91" s="242"/>
      <c r="H91" s="242"/>
      <c r="I91" s="14">
        <f>I86</f>
        <v>0</v>
      </c>
    </row>
    <row r="92" spans="1:9" ht="13.6">
      <c r="A92" s="245" t="s">
        <v>99</v>
      </c>
      <c r="B92" s="245"/>
      <c r="C92" s="245"/>
      <c r="D92" s="245"/>
      <c r="E92" s="245"/>
      <c r="F92" s="245"/>
      <c r="G92" s="245"/>
      <c r="H92" s="245"/>
      <c r="I92" s="15">
        <f>TRUNC(SUM(I90:I91),2)</f>
        <v>151.93</v>
      </c>
    </row>
    <row r="93" spans="1:9" ht="13.6">
      <c r="A93" s="255"/>
      <c r="B93" s="256"/>
      <c r="C93" s="256"/>
      <c r="D93" s="256"/>
      <c r="E93" s="256"/>
      <c r="F93" s="256"/>
      <c r="G93" s="256"/>
      <c r="H93" s="256"/>
      <c r="I93" s="256"/>
    </row>
    <row r="94" spans="1:9" ht="13.6">
      <c r="A94" s="244" t="s">
        <v>100</v>
      </c>
      <c r="B94" s="244"/>
      <c r="C94" s="244"/>
      <c r="D94" s="244"/>
      <c r="E94" s="244"/>
      <c r="F94" s="244"/>
      <c r="G94" s="244"/>
      <c r="H94" s="244"/>
      <c r="I94" s="244"/>
    </row>
    <row r="95" spans="1:9" ht="13.6">
      <c r="A95" s="1">
        <v>5</v>
      </c>
      <c r="B95" s="245" t="s">
        <v>101</v>
      </c>
      <c r="C95" s="245"/>
      <c r="D95" s="245"/>
      <c r="E95" s="245"/>
      <c r="F95" s="245"/>
      <c r="G95" s="245"/>
      <c r="H95" s="1"/>
      <c r="I95" s="1" t="s">
        <v>28</v>
      </c>
    </row>
    <row r="96" spans="1:9" ht="13.6">
      <c r="A96" s="1" t="s">
        <v>2</v>
      </c>
      <c r="B96" s="250" t="s">
        <v>102</v>
      </c>
      <c r="C96" s="250"/>
      <c r="D96" s="250"/>
      <c r="E96" s="250"/>
      <c r="F96" s="250"/>
      <c r="G96" s="250"/>
      <c r="H96" s="2" t="s">
        <v>58</v>
      </c>
      <c r="I96" s="14">
        <f>(I29+I62+I72+I92)*1.45%</f>
        <v>46.463799999999999</v>
      </c>
    </row>
    <row r="97" spans="1:10" ht="13.6">
      <c r="A97" s="1" t="s">
        <v>4</v>
      </c>
      <c r="B97" s="309" t="s">
        <v>160</v>
      </c>
      <c r="C97" s="250"/>
      <c r="D97" s="250"/>
      <c r="E97" s="250"/>
      <c r="F97" s="250"/>
      <c r="G97" s="250"/>
      <c r="H97" s="2" t="s">
        <v>58</v>
      </c>
      <c r="I97" s="14">
        <f>J97-J98</f>
        <v>354.01906782000003</v>
      </c>
      <c r="J97">
        <f>(I29+I62+I72+I92+I96)*12%</f>
        <v>390.103656</v>
      </c>
    </row>
    <row r="98" spans="1:10" ht="13.6">
      <c r="A98" s="13" t="s">
        <v>7</v>
      </c>
      <c r="B98" s="250" t="s">
        <v>36</v>
      </c>
      <c r="C98" s="250"/>
      <c r="D98" s="250"/>
      <c r="E98" s="250"/>
      <c r="F98" s="250"/>
      <c r="G98" s="250"/>
      <c r="H98" s="2" t="s">
        <v>58</v>
      </c>
      <c r="I98" s="14">
        <v>0</v>
      </c>
      <c r="J98">
        <f>J97*9.25%</f>
        <v>36.084588179999997</v>
      </c>
    </row>
    <row r="99" spans="1:10" ht="13.6">
      <c r="A99" s="13" t="s">
        <v>9</v>
      </c>
      <c r="B99" s="250" t="s">
        <v>36</v>
      </c>
      <c r="C99" s="250"/>
      <c r="D99" s="250"/>
      <c r="E99" s="250"/>
      <c r="F99" s="250"/>
      <c r="G99" s="250"/>
      <c r="H99" s="2" t="s">
        <v>58</v>
      </c>
      <c r="I99" s="14">
        <v>0</v>
      </c>
    </row>
    <row r="100" spans="1:10" ht="13.6">
      <c r="A100" s="245" t="s">
        <v>105</v>
      </c>
      <c r="B100" s="245"/>
      <c r="C100" s="245"/>
      <c r="D100" s="245"/>
      <c r="E100" s="245"/>
      <c r="F100" s="245"/>
      <c r="G100" s="245"/>
      <c r="H100" s="11" t="s">
        <v>58</v>
      </c>
      <c r="I100" s="15">
        <f>TRUNC(SUM(I96:I99),2)</f>
        <v>400.48</v>
      </c>
    </row>
    <row r="101" spans="1:10" ht="13.6">
      <c r="A101" s="255"/>
      <c r="B101" s="256"/>
      <c r="C101" s="256"/>
      <c r="D101" s="256"/>
      <c r="E101" s="256"/>
      <c r="F101" s="256"/>
      <c r="G101" s="256"/>
      <c r="H101" s="256"/>
      <c r="I101" s="256"/>
    </row>
    <row r="102" spans="1:10" ht="13.6">
      <c r="A102" s="244" t="s">
        <v>106</v>
      </c>
      <c r="B102" s="244"/>
      <c r="C102" s="244"/>
      <c r="D102" s="244"/>
      <c r="E102" s="244"/>
      <c r="F102" s="244"/>
      <c r="G102" s="244"/>
      <c r="H102" s="244"/>
      <c r="I102" s="244"/>
    </row>
    <row r="103" spans="1:10" ht="13.6">
      <c r="A103" s="1">
        <v>6</v>
      </c>
      <c r="B103" s="245" t="s">
        <v>107</v>
      </c>
      <c r="C103" s="245"/>
      <c r="D103" s="245"/>
      <c r="E103" s="245"/>
      <c r="F103" s="245"/>
      <c r="G103" s="245"/>
      <c r="H103" s="1" t="s">
        <v>27</v>
      </c>
      <c r="I103" s="1" t="s">
        <v>28</v>
      </c>
    </row>
    <row r="104" spans="1:10" ht="13.6">
      <c r="A104" s="1" t="s">
        <v>2</v>
      </c>
      <c r="B104" s="240" t="s">
        <v>108</v>
      </c>
      <c r="C104" s="240"/>
      <c r="D104" s="240"/>
      <c r="E104" s="240"/>
      <c r="F104" s="240"/>
      <c r="G104" s="240"/>
      <c r="H104" s="20">
        <v>0.03</v>
      </c>
      <c r="I104" s="14">
        <f>TRUNC(H104*I128,2)</f>
        <v>108.14</v>
      </c>
    </row>
    <row r="105" spans="1:10" ht="13.6">
      <c r="A105" s="1" t="s">
        <v>4</v>
      </c>
      <c r="B105" s="240" t="s">
        <v>109</v>
      </c>
      <c r="C105" s="240"/>
      <c r="D105" s="240"/>
      <c r="E105" s="240"/>
      <c r="F105" s="240"/>
      <c r="G105" s="240"/>
      <c r="H105" s="21">
        <v>6.7900000000000002E-2</v>
      </c>
      <c r="I105" s="14">
        <f>TRUNC(H105*(I104+I128),2)</f>
        <v>252.11</v>
      </c>
    </row>
    <row r="106" spans="1:10" ht="13.6">
      <c r="A106" s="1" t="s">
        <v>7</v>
      </c>
      <c r="B106" s="264" t="s">
        <v>110</v>
      </c>
      <c r="C106" s="264"/>
      <c r="D106" s="264"/>
      <c r="E106" s="264"/>
      <c r="F106" s="264"/>
      <c r="G106" s="264"/>
      <c r="H106" s="6"/>
      <c r="I106" s="32"/>
    </row>
    <row r="107" spans="1:10" ht="13.6">
      <c r="A107" s="1" t="s">
        <v>111</v>
      </c>
      <c r="B107" s="240" t="s">
        <v>112</v>
      </c>
      <c r="C107" s="240"/>
      <c r="D107" s="240"/>
      <c r="E107" s="240"/>
      <c r="F107" s="240"/>
      <c r="G107" s="240"/>
      <c r="H107" s="22">
        <v>1.6500000000000001E-2</v>
      </c>
      <c r="I107" s="14">
        <f>TRUNC(H107*I117,2)</f>
        <v>76.290000000000006</v>
      </c>
    </row>
    <row r="108" spans="1:10" ht="13.6">
      <c r="A108" s="1" t="s">
        <v>113</v>
      </c>
      <c r="B108" s="240" t="s">
        <v>114</v>
      </c>
      <c r="C108" s="240"/>
      <c r="D108" s="240"/>
      <c r="E108" s="240"/>
      <c r="F108" s="240"/>
      <c r="G108" s="240"/>
      <c r="H108" s="22">
        <v>7.5999999999999998E-2</v>
      </c>
      <c r="I108" s="14">
        <f>TRUNC(H108*I117,2)</f>
        <v>351.42</v>
      </c>
    </row>
    <row r="109" spans="1:10" ht="13.6">
      <c r="A109" s="1" t="s">
        <v>115</v>
      </c>
      <c r="B109" s="240" t="s">
        <v>116</v>
      </c>
      <c r="C109" s="240"/>
      <c r="D109" s="240"/>
      <c r="E109" s="240"/>
      <c r="F109" s="240"/>
      <c r="G109" s="240"/>
      <c r="H109" s="22">
        <v>0.05</v>
      </c>
      <c r="I109" s="14">
        <f>TRUNC(H109*I117,2)</f>
        <v>231.2</v>
      </c>
    </row>
    <row r="110" spans="1:10" ht="13.6">
      <c r="A110" s="245" t="s">
        <v>117</v>
      </c>
      <c r="B110" s="245"/>
      <c r="C110" s="245"/>
      <c r="D110" s="245"/>
      <c r="E110" s="245"/>
      <c r="F110" s="245"/>
      <c r="G110" s="245"/>
      <c r="H110" s="22">
        <f>SUM(H104:H109)</f>
        <v>0.2404</v>
      </c>
      <c r="I110" s="15">
        <f>TRUNC(SUM(I104:I109),2)</f>
        <v>1019.16</v>
      </c>
    </row>
    <row r="111" spans="1:10">
      <c r="A111" s="4"/>
      <c r="B111" s="265"/>
      <c r="C111" s="265"/>
      <c r="D111" s="265"/>
      <c r="E111" s="265"/>
      <c r="F111" s="265"/>
      <c r="G111" s="265"/>
      <c r="H111" s="265"/>
      <c r="I111" s="265"/>
    </row>
    <row r="112" spans="1:10" ht="13.6">
      <c r="A112" s="23" t="s">
        <v>118</v>
      </c>
      <c r="B112" s="266" t="s">
        <v>119</v>
      </c>
      <c r="C112" s="266"/>
      <c r="D112" s="266"/>
      <c r="E112" s="266"/>
      <c r="F112" s="266"/>
      <c r="G112" s="266"/>
      <c r="H112" s="24">
        <f>TRUNC(H107+H108+H109,4)</f>
        <v>0.14249999999999999</v>
      </c>
      <c r="I112" s="33"/>
    </row>
    <row r="113" spans="1:11" ht="13.6">
      <c r="A113" s="25"/>
      <c r="B113" s="267">
        <v>100</v>
      </c>
      <c r="C113" s="267"/>
      <c r="D113" s="267"/>
      <c r="E113" s="267"/>
      <c r="F113" s="267"/>
      <c r="G113" s="267"/>
      <c r="H113" s="27"/>
      <c r="I113" s="34"/>
    </row>
    <row r="114" spans="1:11" ht="13.6">
      <c r="A114" s="28"/>
      <c r="B114" s="26"/>
      <c r="C114" s="26"/>
      <c r="D114" s="26"/>
      <c r="E114" s="26"/>
      <c r="F114" s="26"/>
      <c r="G114" s="26"/>
      <c r="H114" s="27"/>
      <c r="I114" s="34"/>
    </row>
    <row r="115" spans="1:11" ht="13.6">
      <c r="A115" s="25" t="s">
        <v>120</v>
      </c>
      <c r="B115" s="267" t="s">
        <v>121</v>
      </c>
      <c r="C115" s="267"/>
      <c r="D115" s="267"/>
      <c r="E115" s="267"/>
      <c r="F115" s="267"/>
      <c r="G115" s="267"/>
      <c r="H115" s="27"/>
      <c r="I115" s="34">
        <f>TRUNC(I128+I104+I105,2)</f>
        <v>3965.13</v>
      </c>
    </row>
    <row r="116" spans="1:11" ht="13.6">
      <c r="A116" s="25"/>
      <c r="B116" s="26"/>
      <c r="C116" s="26"/>
      <c r="D116" s="26"/>
      <c r="E116" s="26"/>
      <c r="F116" s="26"/>
      <c r="G116" s="26"/>
      <c r="H116" s="27"/>
      <c r="I116" s="34"/>
    </row>
    <row r="117" spans="1:11" ht="13.6">
      <c r="A117" s="25" t="s">
        <v>122</v>
      </c>
      <c r="B117" s="267" t="s">
        <v>123</v>
      </c>
      <c r="C117" s="267"/>
      <c r="D117" s="267"/>
      <c r="E117" s="267"/>
      <c r="F117" s="267"/>
      <c r="G117" s="267"/>
      <c r="H117" s="27"/>
      <c r="I117" s="34">
        <f>TRUNC(I115/(1-H112),2)</f>
        <v>4624.05</v>
      </c>
    </row>
    <row r="118" spans="1:11" ht="13.6">
      <c r="A118" s="25"/>
      <c r="B118" s="26"/>
      <c r="C118" s="26"/>
      <c r="D118" s="26"/>
      <c r="E118" s="26"/>
      <c r="F118" s="26"/>
      <c r="G118" s="26"/>
      <c r="H118" s="27"/>
      <c r="I118" s="34"/>
    </row>
    <row r="119" spans="1:11" ht="13.6">
      <c r="A119" s="29"/>
      <c r="B119" s="268" t="s">
        <v>124</v>
      </c>
      <c r="C119" s="268"/>
      <c r="D119" s="268"/>
      <c r="E119" s="268"/>
      <c r="F119" s="268"/>
      <c r="G119" s="268"/>
      <c r="H119" s="30"/>
      <c r="I119" s="35">
        <f>TRUNC(I117-I115,2)</f>
        <v>658.92</v>
      </c>
      <c r="K119" s="31"/>
    </row>
    <row r="120" spans="1:11" ht="13.6">
      <c r="A120" s="4"/>
      <c r="B120" s="4"/>
      <c r="C120" s="4"/>
      <c r="D120" s="4"/>
      <c r="E120" s="4"/>
      <c r="F120" s="4"/>
      <c r="G120" s="4"/>
      <c r="H120" s="4"/>
      <c r="I120" s="16"/>
    </row>
    <row r="121" spans="1:11" ht="13.6">
      <c r="A121" s="254" t="s">
        <v>125</v>
      </c>
      <c r="B121" s="254"/>
      <c r="C121" s="254"/>
      <c r="D121" s="254"/>
      <c r="E121" s="254"/>
      <c r="F121" s="254"/>
      <c r="G121" s="254"/>
      <c r="H121" s="254"/>
      <c r="I121" s="254"/>
      <c r="K121" s="36"/>
    </row>
    <row r="122" spans="1:11" ht="13.6">
      <c r="A122" s="245" t="s">
        <v>126</v>
      </c>
      <c r="B122" s="245"/>
      <c r="C122" s="245"/>
      <c r="D122" s="245"/>
      <c r="E122" s="245"/>
      <c r="F122" s="245"/>
      <c r="G122" s="245"/>
      <c r="H122" s="245"/>
      <c r="I122" s="1" t="s">
        <v>28</v>
      </c>
    </row>
    <row r="123" spans="1:11">
      <c r="A123" s="2" t="s">
        <v>2</v>
      </c>
      <c r="B123" s="240" t="str">
        <f>A21</f>
        <v>MÓDULO 1 - COMPOSIÇÃO DA REMUNERAÇÃO</v>
      </c>
      <c r="C123" s="240"/>
      <c r="D123" s="240"/>
      <c r="E123" s="240"/>
      <c r="F123" s="240"/>
      <c r="G123" s="240"/>
      <c r="H123" s="240"/>
      <c r="I123" s="14">
        <f>I29</f>
        <v>1548.75</v>
      </c>
    </row>
    <row r="124" spans="1:11">
      <c r="A124" s="2" t="s">
        <v>4</v>
      </c>
      <c r="B124" s="240" t="str">
        <f>A31</f>
        <v>MÓDULO 2 – ENCARGOS E BENEFÍCIOS ANUAIS, MENSAIS E DIÁRIOS</v>
      </c>
      <c r="C124" s="240"/>
      <c r="D124" s="240"/>
      <c r="E124" s="240"/>
      <c r="F124" s="240"/>
      <c r="G124" s="240"/>
      <c r="H124" s="240"/>
      <c r="I124" s="14">
        <f>I62</f>
        <v>1454.21</v>
      </c>
    </row>
    <row r="125" spans="1:11" ht="13.6">
      <c r="A125" s="2" t="s">
        <v>7</v>
      </c>
      <c r="B125" s="240" t="str">
        <f>A64</f>
        <v>MÓDULO 3 – PROVISÃO PARA RESCISÃO</v>
      </c>
      <c r="C125" s="240"/>
      <c r="D125" s="240"/>
      <c r="E125" s="240"/>
      <c r="F125" s="240"/>
      <c r="G125" s="240"/>
      <c r="H125" s="240"/>
      <c r="I125" s="14">
        <f>I72</f>
        <v>49.51</v>
      </c>
      <c r="K125" s="36"/>
    </row>
    <row r="126" spans="1:11" ht="13.6">
      <c r="A126" s="2" t="s">
        <v>9</v>
      </c>
      <c r="B126" s="240" t="str">
        <f>A74</f>
        <v>MÓDULO 4 – CUSTO DE REPOSIÇÃO DO PROFISSIONAL AUSENTE</v>
      </c>
      <c r="C126" s="240"/>
      <c r="D126" s="240"/>
      <c r="E126" s="240"/>
      <c r="F126" s="240"/>
      <c r="G126" s="240"/>
      <c r="H126" s="240"/>
      <c r="I126" s="14">
        <f>I92</f>
        <v>151.93</v>
      </c>
      <c r="K126" s="36"/>
    </row>
    <row r="127" spans="1:11">
      <c r="A127" s="2" t="s">
        <v>33</v>
      </c>
      <c r="B127" s="240" t="str">
        <f>A94</f>
        <v>MÓDULO 5 – INSUMOS DIVERSOS</v>
      </c>
      <c r="C127" s="240"/>
      <c r="D127" s="240"/>
      <c r="E127" s="240"/>
      <c r="F127" s="240"/>
      <c r="G127" s="240"/>
      <c r="H127" s="240"/>
      <c r="I127" s="14">
        <f>I100</f>
        <v>400.48</v>
      </c>
    </row>
    <row r="128" spans="1:11" ht="13.6">
      <c r="A128" s="1"/>
      <c r="B128" s="245" t="s">
        <v>127</v>
      </c>
      <c r="C128" s="245"/>
      <c r="D128" s="245"/>
      <c r="E128" s="245"/>
      <c r="F128" s="245"/>
      <c r="G128" s="245"/>
      <c r="H128" s="245"/>
      <c r="I128" s="15">
        <f>TRUNC(SUM(I123:I127),2)</f>
        <v>3604.88</v>
      </c>
      <c r="K128" s="31"/>
    </row>
    <row r="129" spans="1:9">
      <c r="A129" s="2" t="s">
        <v>35</v>
      </c>
      <c r="B129" s="240" t="str">
        <f>A102</f>
        <v>MÓDULO 6 – CUSTOS INDIRETOS, TRIBUTOS E LUCRO</v>
      </c>
      <c r="C129" s="240"/>
      <c r="D129" s="240"/>
      <c r="E129" s="240"/>
      <c r="F129" s="240"/>
      <c r="G129" s="240"/>
      <c r="H129" s="240"/>
      <c r="I129" s="14">
        <f>I110</f>
        <v>1019.16</v>
      </c>
    </row>
    <row r="130" spans="1:9" ht="13.6">
      <c r="A130" s="245" t="s">
        <v>128</v>
      </c>
      <c r="B130" s="245"/>
      <c r="C130" s="245"/>
      <c r="D130" s="245"/>
      <c r="E130" s="245"/>
      <c r="F130" s="245"/>
      <c r="G130" s="245"/>
      <c r="H130" s="245"/>
      <c r="I130" s="15">
        <f>TRUNC(SUM(I128:I129),2)</f>
        <v>4624.04</v>
      </c>
    </row>
    <row r="131" spans="1:9">
      <c r="I131" s="31"/>
    </row>
    <row r="132" spans="1:9" ht="14.3" thickBot="1">
      <c r="A132" s="4"/>
      <c r="B132" s="237" t="s">
        <v>129</v>
      </c>
      <c r="C132" s="237"/>
      <c r="D132" s="237"/>
      <c r="E132" s="237"/>
      <c r="F132" s="237"/>
      <c r="G132" s="237"/>
      <c r="H132" s="8"/>
      <c r="I132" s="8"/>
    </row>
    <row r="133" spans="1:9" ht="41.45" thickBot="1">
      <c r="A133" s="269" t="s">
        <v>130</v>
      </c>
      <c r="B133" s="270"/>
      <c r="C133" s="269" t="s">
        <v>131</v>
      </c>
      <c r="D133" s="270"/>
      <c r="E133" s="269" t="s">
        <v>132</v>
      </c>
      <c r="F133" s="270"/>
      <c r="G133" s="37" t="s">
        <v>133</v>
      </c>
      <c r="H133" s="38" t="s">
        <v>134</v>
      </c>
      <c r="I133" s="52" t="s">
        <v>28</v>
      </c>
    </row>
    <row r="134" spans="1:9">
      <c r="A134" s="271" t="s">
        <v>135</v>
      </c>
      <c r="B134" s="272"/>
      <c r="C134" s="273" t="s">
        <v>136</v>
      </c>
      <c r="D134" s="274"/>
      <c r="E134" s="275"/>
      <c r="F134" s="276"/>
      <c r="G134" s="40" t="s">
        <v>136</v>
      </c>
      <c r="H134" s="41"/>
      <c r="I134" s="53">
        <v>0</v>
      </c>
    </row>
    <row r="135" spans="1:9">
      <c r="A135" s="242" t="s">
        <v>137</v>
      </c>
      <c r="B135" s="277"/>
      <c r="C135" s="278" t="s">
        <v>136</v>
      </c>
      <c r="D135" s="279"/>
      <c r="E135" s="280"/>
      <c r="F135" s="281"/>
      <c r="G135" s="42" t="s">
        <v>136</v>
      </c>
      <c r="H135" s="43"/>
      <c r="I135" s="54">
        <v>0</v>
      </c>
    </row>
    <row r="136" spans="1:9">
      <c r="A136" s="242" t="s">
        <v>138</v>
      </c>
      <c r="B136" s="277"/>
      <c r="C136" s="278" t="s">
        <v>136</v>
      </c>
      <c r="D136" s="279"/>
      <c r="E136" s="280"/>
      <c r="F136" s="281"/>
      <c r="G136" s="42" t="s">
        <v>136</v>
      </c>
      <c r="H136" s="43"/>
      <c r="I136" s="54">
        <v>0</v>
      </c>
    </row>
    <row r="137" spans="1:9">
      <c r="A137" s="242" t="s">
        <v>139</v>
      </c>
      <c r="B137" s="277"/>
      <c r="C137" s="278" t="s">
        <v>136</v>
      </c>
      <c r="D137" s="279"/>
      <c r="E137" s="280"/>
      <c r="F137" s="281"/>
      <c r="G137" s="42" t="s">
        <v>136</v>
      </c>
      <c r="H137" s="43"/>
      <c r="I137" s="54">
        <v>0</v>
      </c>
    </row>
    <row r="138" spans="1:9" ht="13.6">
      <c r="A138" s="282"/>
      <c r="B138" s="258"/>
      <c r="C138" s="280"/>
      <c r="D138" s="281"/>
      <c r="E138" s="280"/>
      <c r="F138" s="281"/>
      <c r="G138" s="44"/>
      <c r="H138" s="45"/>
      <c r="I138" s="54"/>
    </row>
    <row r="139" spans="1:9" ht="14.3" thickBot="1">
      <c r="A139" s="289"/>
      <c r="B139" s="290"/>
      <c r="C139" s="291"/>
      <c r="D139" s="292"/>
      <c r="E139" s="291"/>
      <c r="F139" s="292"/>
      <c r="G139" s="46"/>
      <c r="H139" s="47"/>
      <c r="I139" s="55"/>
    </row>
    <row r="140" spans="1:9" ht="14.3" thickBot="1">
      <c r="A140" s="293" t="s">
        <v>140</v>
      </c>
      <c r="B140" s="294"/>
      <c r="C140" s="294"/>
      <c r="D140" s="294"/>
      <c r="E140" s="294"/>
      <c r="F140" s="294"/>
      <c r="G140" s="294"/>
      <c r="H140" s="295"/>
      <c r="I140" s="56">
        <f>SUM(I138:I139)</f>
        <v>0</v>
      </c>
    </row>
    <row r="142" spans="1:9" ht="14.3" thickBot="1">
      <c r="A142" s="4" t="s">
        <v>141</v>
      </c>
      <c r="B142" s="237" t="s">
        <v>142</v>
      </c>
      <c r="C142" s="237"/>
      <c r="D142" s="237"/>
      <c r="E142" s="237"/>
      <c r="F142" s="237"/>
      <c r="G142" s="237"/>
      <c r="H142" s="8"/>
      <c r="I142" s="8"/>
    </row>
    <row r="143" spans="1:9" ht="14.3" thickBot="1">
      <c r="A143" s="296" t="s">
        <v>143</v>
      </c>
      <c r="B143" s="297"/>
      <c r="C143" s="297"/>
      <c r="D143" s="297"/>
      <c r="E143" s="297"/>
      <c r="F143" s="297"/>
      <c r="G143" s="297"/>
      <c r="H143" s="297"/>
      <c r="I143" s="298"/>
    </row>
    <row r="144" spans="1:9" ht="14.3" thickBot="1">
      <c r="A144" s="48"/>
      <c r="B144" s="299" t="s">
        <v>144</v>
      </c>
      <c r="C144" s="300"/>
      <c r="D144" s="300"/>
      <c r="E144" s="300"/>
      <c r="F144" s="300"/>
      <c r="G144" s="300"/>
      <c r="H144" s="301"/>
      <c r="I144" s="52" t="s">
        <v>28</v>
      </c>
    </row>
    <row r="145" spans="1:9">
      <c r="A145" s="39" t="s">
        <v>2</v>
      </c>
      <c r="B145" s="302" t="s">
        <v>145</v>
      </c>
      <c r="C145" s="303"/>
      <c r="D145" s="303"/>
      <c r="E145" s="303"/>
      <c r="F145" s="303"/>
      <c r="G145" s="303"/>
      <c r="H145" s="304"/>
      <c r="I145" s="57">
        <f>I107</f>
        <v>76.290000000000006</v>
      </c>
    </row>
    <row r="146" spans="1:9">
      <c r="A146" s="49" t="s">
        <v>4</v>
      </c>
      <c r="B146" s="251" t="s">
        <v>146</v>
      </c>
      <c r="C146" s="252"/>
      <c r="D146" s="252"/>
      <c r="E146" s="252"/>
      <c r="F146" s="252"/>
      <c r="G146" s="252"/>
      <c r="H146" s="253"/>
      <c r="I146" s="58" t="e">
        <f>#REF!</f>
        <v>#REF!</v>
      </c>
    </row>
    <row r="147" spans="1:9" ht="13.6" thickBot="1">
      <c r="A147" s="49" t="s">
        <v>7</v>
      </c>
      <c r="B147" s="283" t="s">
        <v>147</v>
      </c>
      <c r="C147" s="284"/>
      <c r="D147" s="284"/>
      <c r="E147" s="284"/>
      <c r="F147" s="284"/>
      <c r="G147" s="284"/>
      <c r="H147" s="285"/>
      <c r="I147" s="58">
        <f>I110</f>
        <v>1019.16</v>
      </c>
    </row>
    <row r="148" spans="1:9" ht="14.3" thickBot="1">
      <c r="A148" s="286" t="s">
        <v>148</v>
      </c>
      <c r="B148" s="287"/>
      <c r="C148" s="287"/>
      <c r="D148" s="287"/>
      <c r="E148" s="287"/>
      <c r="F148" s="287"/>
      <c r="G148" s="287"/>
      <c r="H148" s="288"/>
      <c r="I148" s="56" t="e">
        <f>SUM(I145:I147)</f>
        <v>#REF!</v>
      </c>
    </row>
    <row r="149" spans="1:9">
      <c r="A149" s="4" t="s">
        <v>149</v>
      </c>
      <c r="B149" t="s">
        <v>150</v>
      </c>
    </row>
    <row r="152" spans="1:9" ht="13.6">
      <c r="A152" s="17" t="s">
        <v>151</v>
      </c>
      <c r="B152" s="17">
        <f>I130/I23</f>
        <v>3.7320742534301856</v>
      </c>
    </row>
    <row r="153" spans="1:9" ht="13.6">
      <c r="A153" s="36"/>
      <c r="B153" s="17"/>
      <c r="E153" s="50"/>
    </row>
    <row r="154" spans="1:9" ht="13.6">
      <c r="A154" s="17" t="s">
        <v>152</v>
      </c>
      <c r="B154" s="17"/>
      <c r="C154" s="36">
        <f>'Quantidade de Serventes'!E5*'LIDER DE TURMA - LUCRO REAL'!I133</f>
        <v>41823.74</v>
      </c>
    </row>
    <row r="155" spans="1:9" ht="13.6">
      <c r="A155" s="17" t="s">
        <v>153</v>
      </c>
      <c r="B155" s="17"/>
      <c r="C155" s="36">
        <f>H8*C154</f>
        <v>501884.88</v>
      </c>
      <c r="E155" s="51" t="e">
        <f>'Lucro Real'!C155-'LIDER DE TURMA - LUCRO REAL'!C158</f>
        <v>#REF!</v>
      </c>
    </row>
    <row r="156" spans="1:9">
      <c r="A156" s="50"/>
      <c r="E156" s="50" t="e">
        <f>E155/'Lucro Real'!C155*100</f>
        <v>#REF!</v>
      </c>
    </row>
    <row r="157" spans="1:9">
      <c r="A157" s="50"/>
    </row>
  </sheetData>
  <mergeCells count="165">
    <mergeCell ref="B144:H144"/>
    <mergeCell ref="B145:H145"/>
    <mergeCell ref="B146:H146"/>
    <mergeCell ref="B147:H147"/>
    <mergeCell ref="A148:H148"/>
    <mergeCell ref="A139:B139"/>
    <mergeCell ref="C139:D139"/>
    <mergeCell ref="E139:F139"/>
    <mergeCell ref="A140:H140"/>
    <mergeCell ref="B142:G142"/>
    <mergeCell ref="A143:I143"/>
    <mergeCell ref="A137:B137"/>
    <mergeCell ref="C137:D137"/>
    <mergeCell ref="E137:F137"/>
    <mergeCell ref="A138:B138"/>
    <mergeCell ref="C138:D138"/>
    <mergeCell ref="E138:F138"/>
    <mergeCell ref="A135:B135"/>
    <mergeCell ref="C135:D135"/>
    <mergeCell ref="E135:F135"/>
    <mergeCell ref="A136:B136"/>
    <mergeCell ref="C136:D136"/>
    <mergeCell ref="E136:F136"/>
    <mergeCell ref="B132:G132"/>
    <mergeCell ref="A133:B133"/>
    <mergeCell ref="C133:D133"/>
    <mergeCell ref="E133:F133"/>
    <mergeCell ref="A134:B134"/>
    <mergeCell ref="C134:D134"/>
    <mergeCell ref="E134:F134"/>
    <mergeCell ref="B125:H125"/>
    <mergeCell ref="B126:H126"/>
    <mergeCell ref="B127:H127"/>
    <mergeCell ref="B128:H128"/>
    <mergeCell ref="B129:H129"/>
    <mergeCell ref="A130:H130"/>
    <mergeCell ref="B117:G117"/>
    <mergeCell ref="B119:G119"/>
    <mergeCell ref="A121:I121"/>
    <mergeCell ref="A122:H122"/>
    <mergeCell ref="B123:H123"/>
    <mergeCell ref="B124:H124"/>
    <mergeCell ref="B109:G109"/>
    <mergeCell ref="A110:G110"/>
    <mergeCell ref="B111:I111"/>
    <mergeCell ref="B112:G112"/>
    <mergeCell ref="B113:G113"/>
    <mergeCell ref="B115:G115"/>
    <mergeCell ref="B103:G103"/>
    <mergeCell ref="B104:G104"/>
    <mergeCell ref="B105:G105"/>
    <mergeCell ref="B106:G106"/>
    <mergeCell ref="B107:G107"/>
    <mergeCell ref="B108:G108"/>
    <mergeCell ref="B97:G97"/>
    <mergeCell ref="B98:G98"/>
    <mergeCell ref="B99:G99"/>
    <mergeCell ref="A100:G100"/>
    <mergeCell ref="A101:I101"/>
    <mergeCell ref="A102:I102"/>
    <mergeCell ref="B91:H91"/>
    <mergeCell ref="A92:H92"/>
    <mergeCell ref="A93:I93"/>
    <mergeCell ref="A94:I94"/>
    <mergeCell ref="B95:G95"/>
    <mergeCell ref="B96:G96"/>
    <mergeCell ref="B85:G85"/>
    <mergeCell ref="A86:G86"/>
    <mergeCell ref="A87:I87"/>
    <mergeCell ref="A88:I88"/>
    <mergeCell ref="A89:H89"/>
    <mergeCell ref="B90:H90"/>
    <mergeCell ref="B79:G79"/>
    <mergeCell ref="B80:G80"/>
    <mergeCell ref="B81:G81"/>
    <mergeCell ref="A82:G82"/>
    <mergeCell ref="A83:I83"/>
    <mergeCell ref="A84:G84"/>
    <mergeCell ref="A73:I73"/>
    <mergeCell ref="A74:I74"/>
    <mergeCell ref="A75:G75"/>
    <mergeCell ref="B76:G76"/>
    <mergeCell ref="B77:G77"/>
    <mergeCell ref="B78:G78"/>
    <mergeCell ref="B67:G67"/>
    <mergeCell ref="B68:G68"/>
    <mergeCell ref="B69:G69"/>
    <mergeCell ref="B70:G70"/>
    <mergeCell ref="B71:G71"/>
    <mergeCell ref="A72:G72"/>
    <mergeCell ref="B61:H61"/>
    <mergeCell ref="A62:H62"/>
    <mergeCell ref="A63:I63"/>
    <mergeCell ref="A64:I64"/>
    <mergeCell ref="B65:G65"/>
    <mergeCell ref="B66:G66"/>
    <mergeCell ref="A55:H55"/>
    <mergeCell ref="A56:I56"/>
    <mergeCell ref="A57:I57"/>
    <mergeCell ref="A58:H58"/>
    <mergeCell ref="B59:H59"/>
    <mergeCell ref="B60:H60"/>
    <mergeCell ref="B49:G49"/>
    <mergeCell ref="B50:G50"/>
    <mergeCell ref="B51:G51"/>
    <mergeCell ref="B52:G52"/>
    <mergeCell ref="B53:G53"/>
    <mergeCell ref="B54:G54"/>
    <mergeCell ref="B43:G43"/>
    <mergeCell ref="B44:G44"/>
    <mergeCell ref="B45:G45"/>
    <mergeCell ref="A46:G46"/>
    <mergeCell ref="A47:I47"/>
    <mergeCell ref="A48:G48"/>
    <mergeCell ref="A37:G37"/>
    <mergeCell ref="B38:G38"/>
    <mergeCell ref="B39:G39"/>
    <mergeCell ref="B40:G40"/>
    <mergeCell ref="B41:G41"/>
    <mergeCell ref="B42:G42"/>
    <mergeCell ref="A31:I31"/>
    <mergeCell ref="A32:G32"/>
    <mergeCell ref="B33:G33"/>
    <mergeCell ref="B34:G34"/>
    <mergeCell ref="A35:G35"/>
    <mergeCell ref="A36:I36"/>
    <mergeCell ref="B24:G24"/>
    <mergeCell ref="B25:G25"/>
    <mergeCell ref="B26:G26"/>
    <mergeCell ref="B27:G27"/>
    <mergeCell ref="B28:G28"/>
    <mergeCell ref="A29:H29"/>
    <mergeCell ref="B19:G19"/>
    <mergeCell ref="H19:I19"/>
    <mergeCell ref="A20:I20"/>
    <mergeCell ref="A21:I21"/>
    <mergeCell ref="B22:G22"/>
    <mergeCell ref="B23:G23"/>
    <mergeCell ref="B16:G16"/>
    <mergeCell ref="H16:I16"/>
    <mergeCell ref="B17:G17"/>
    <mergeCell ref="H17:I17"/>
    <mergeCell ref="B18:G18"/>
    <mergeCell ref="H18:I18"/>
    <mergeCell ref="A14:I14"/>
    <mergeCell ref="B15:G15"/>
    <mergeCell ref="H15:I15"/>
    <mergeCell ref="B7:G7"/>
    <mergeCell ref="H7:I7"/>
    <mergeCell ref="B8:G8"/>
    <mergeCell ref="H8:I8"/>
    <mergeCell ref="A10:I10"/>
    <mergeCell ref="A11:B11"/>
    <mergeCell ref="C11:D11"/>
    <mergeCell ref="E11:I11"/>
    <mergeCell ref="A1:I1"/>
    <mergeCell ref="A2:I2"/>
    <mergeCell ref="A4:I4"/>
    <mergeCell ref="B5:G5"/>
    <mergeCell ref="H5:I5"/>
    <mergeCell ref="B6:G6"/>
    <mergeCell ref="H6:I6"/>
    <mergeCell ref="A12:B12"/>
    <mergeCell ref="C12:D12"/>
    <mergeCell ref="E12:I1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  <pageSetUpPr fitToPage="1"/>
  </sheetPr>
  <dimension ref="A1:N160"/>
  <sheetViews>
    <sheetView zoomScale="115" zoomScaleNormal="115" workbookViewId="0">
      <selection sqref="A1:I1"/>
    </sheetView>
  </sheetViews>
  <sheetFormatPr defaultColWidth="9" defaultRowHeight="12.9"/>
  <cols>
    <col min="1" max="1" width="10" customWidth="1"/>
    <col min="3" max="3" width="15.625" customWidth="1"/>
    <col min="5" max="5" width="15" customWidth="1"/>
    <col min="7" max="7" width="26.75" customWidth="1"/>
    <col min="8" max="8" width="9.125" customWidth="1"/>
    <col min="9" max="9" width="12" customWidth="1"/>
    <col min="10" max="10" width="10.25" customWidth="1"/>
    <col min="11" max="11" width="12.875" customWidth="1"/>
    <col min="13" max="13" width="9.625" customWidth="1"/>
  </cols>
  <sheetData>
    <row r="1" spans="1:9">
      <c r="A1" s="237"/>
      <c r="B1" s="237"/>
      <c r="C1" s="237"/>
      <c r="D1" s="237"/>
      <c r="E1" s="237"/>
      <c r="F1" s="237"/>
      <c r="G1" s="237"/>
      <c r="H1" s="237"/>
      <c r="I1" s="237"/>
    </row>
    <row r="2" spans="1:9" ht="28.55" customHeight="1">
      <c r="A2" s="310" t="s">
        <v>312</v>
      </c>
      <c r="B2" s="310"/>
      <c r="C2" s="310"/>
      <c r="D2" s="310"/>
      <c r="E2" s="310"/>
      <c r="F2" s="310"/>
      <c r="G2" s="310"/>
      <c r="H2" s="310"/>
      <c r="I2" s="310"/>
    </row>
    <row r="3" spans="1:9" ht="81.7" customHeight="1">
      <c r="A3" s="313" t="s">
        <v>253</v>
      </c>
      <c r="B3" s="314"/>
      <c r="C3" s="314"/>
      <c r="D3" s="314"/>
      <c r="E3" s="314"/>
      <c r="F3" s="314"/>
      <c r="G3" s="5"/>
      <c r="H3" s="5"/>
      <c r="I3" s="5"/>
    </row>
    <row r="4" spans="1:9" ht="13.6">
      <c r="A4" s="239" t="s">
        <v>1</v>
      </c>
      <c r="B4" s="239"/>
      <c r="C4" s="239"/>
      <c r="D4" s="239"/>
      <c r="E4" s="239"/>
      <c r="F4" s="239"/>
      <c r="G4" s="239"/>
      <c r="H4" s="239"/>
      <c r="I4" s="239"/>
    </row>
    <row r="5" spans="1:9">
      <c r="A5" s="2" t="s">
        <v>2</v>
      </c>
      <c r="B5" s="240" t="s">
        <v>3</v>
      </c>
      <c r="C5" s="240"/>
      <c r="D5" s="240"/>
      <c r="E5" s="240"/>
      <c r="F5" s="240"/>
      <c r="G5" s="240"/>
      <c r="H5" s="311" t="s">
        <v>254</v>
      </c>
      <c r="I5" s="312"/>
    </row>
    <row r="6" spans="1:9">
      <c r="A6" s="2" t="s">
        <v>4</v>
      </c>
      <c r="B6" s="240" t="s">
        <v>5</v>
      </c>
      <c r="C6" s="240"/>
      <c r="D6" s="240"/>
      <c r="E6" s="240"/>
      <c r="F6" s="240"/>
      <c r="G6" s="240"/>
      <c r="H6" s="305" t="s">
        <v>157</v>
      </c>
      <c r="I6" s="242"/>
    </row>
    <row r="7" spans="1:9">
      <c r="A7" s="2" t="s">
        <v>7</v>
      </c>
      <c r="B7" s="240" t="s">
        <v>8</v>
      </c>
      <c r="C7" s="240"/>
      <c r="D7" s="240"/>
      <c r="E7" s="240"/>
      <c r="F7" s="240"/>
      <c r="G7" s="240"/>
      <c r="H7" s="305" t="s">
        <v>255</v>
      </c>
      <c r="I7" s="242"/>
    </row>
    <row r="8" spans="1:9">
      <c r="A8" s="2" t="s">
        <v>9</v>
      </c>
      <c r="B8" s="240" t="s">
        <v>10</v>
      </c>
      <c r="C8" s="240"/>
      <c r="D8" s="240"/>
      <c r="E8" s="240"/>
      <c r="F8" s="240"/>
      <c r="G8" s="240"/>
      <c r="H8" s="242">
        <v>24</v>
      </c>
      <c r="I8" s="242"/>
    </row>
    <row r="9" spans="1:9">
      <c r="A9" s="4"/>
      <c r="B9" s="5"/>
      <c r="C9" s="5"/>
      <c r="D9" s="5"/>
      <c r="E9" s="5"/>
      <c r="F9" s="5"/>
      <c r="G9" s="5"/>
      <c r="H9" s="4"/>
      <c r="I9" s="4"/>
    </row>
    <row r="10" spans="1:9" ht="13.6">
      <c r="A10" s="239" t="s">
        <v>11</v>
      </c>
      <c r="B10" s="239"/>
      <c r="C10" s="239"/>
      <c r="D10" s="239"/>
      <c r="E10" s="239"/>
      <c r="F10" s="239"/>
      <c r="G10" s="239"/>
      <c r="H10" s="239"/>
      <c r="I10" s="239"/>
    </row>
    <row r="11" spans="1:9">
      <c r="A11" s="242" t="s">
        <v>12</v>
      </c>
      <c r="B11" s="242"/>
      <c r="C11" s="242" t="s">
        <v>13</v>
      </c>
      <c r="D11" s="242"/>
      <c r="E11" s="242" t="s">
        <v>14</v>
      </c>
      <c r="F11" s="242"/>
      <c r="G11" s="242"/>
      <c r="H11" s="242"/>
      <c r="I11" s="242"/>
    </row>
    <row r="12" spans="1:9">
      <c r="A12" s="242" t="s">
        <v>15</v>
      </c>
      <c r="B12" s="242"/>
      <c r="C12" s="242" t="s">
        <v>16</v>
      </c>
      <c r="D12" s="242"/>
      <c r="E12" s="242">
        <v>4633.7</v>
      </c>
      <c r="F12" s="242"/>
      <c r="G12" s="242"/>
      <c r="H12" s="242"/>
      <c r="I12" s="242"/>
    </row>
    <row r="13" spans="1:9">
      <c r="A13" s="4"/>
      <c r="B13" s="5"/>
      <c r="C13" s="5"/>
      <c r="D13" s="5"/>
      <c r="E13" s="5"/>
      <c r="F13" s="5"/>
      <c r="G13" s="5"/>
      <c r="H13" s="4"/>
      <c r="I13" s="4"/>
    </row>
    <row r="14" spans="1:9" ht="13.6">
      <c r="A14" s="239" t="s">
        <v>17</v>
      </c>
      <c r="B14" s="239"/>
      <c r="C14" s="239"/>
      <c r="D14" s="239"/>
      <c r="E14" s="239"/>
      <c r="F14" s="239"/>
      <c r="G14" s="239"/>
      <c r="H14" s="239"/>
      <c r="I14" s="239"/>
    </row>
    <row r="15" spans="1:9">
      <c r="A15" s="2">
        <v>1</v>
      </c>
      <c r="B15" s="240" t="s">
        <v>18</v>
      </c>
      <c r="C15" s="240"/>
      <c r="D15" s="240"/>
      <c r="E15" s="240"/>
      <c r="F15" s="240"/>
      <c r="G15" s="240"/>
      <c r="H15" s="242" t="s">
        <v>15</v>
      </c>
      <c r="I15" s="242"/>
    </row>
    <row r="16" spans="1:9">
      <c r="A16" s="2">
        <v>2</v>
      </c>
      <c r="B16" s="240" t="s">
        <v>19</v>
      </c>
      <c r="C16" s="240"/>
      <c r="D16" s="240"/>
      <c r="E16" s="240"/>
      <c r="F16" s="240"/>
      <c r="G16" s="240"/>
      <c r="H16" s="242" t="s">
        <v>20</v>
      </c>
      <c r="I16" s="242"/>
    </row>
    <row r="17" spans="1:14">
      <c r="A17" s="2">
        <v>3</v>
      </c>
      <c r="B17" s="315" t="s">
        <v>21</v>
      </c>
      <c r="C17" s="240"/>
      <c r="D17" s="240"/>
      <c r="E17" s="240"/>
      <c r="F17" s="240"/>
      <c r="G17" s="240"/>
      <c r="H17" s="243">
        <v>1763.44</v>
      </c>
      <c r="I17" s="242"/>
    </row>
    <row r="18" spans="1:14" ht="27" customHeight="1">
      <c r="A18" s="2">
        <v>4</v>
      </c>
      <c r="B18" s="316" t="s">
        <v>22</v>
      </c>
      <c r="C18" s="317"/>
      <c r="D18" s="317"/>
      <c r="E18" s="317"/>
      <c r="F18" s="317"/>
      <c r="G18" s="318"/>
      <c r="H18" s="319" t="s">
        <v>237</v>
      </c>
      <c r="I18" s="320"/>
    </row>
    <row r="19" spans="1:14">
      <c r="A19" s="2">
        <v>5</v>
      </c>
      <c r="B19" s="240" t="s">
        <v>24</v>
      </c>
      <c r="C19" s="240"/>
      <c r="D19" s="240"/>
      <c r="E19" s="240"/>
      <c r="F19" s="240"/>
      <c r="G19" s="240"/>
      <c r="H19" s="321">
        <v>45717</v>
      </c>
      <c r="I19" s="322"/>
    </row>
    <row r="20" spans="1:14">
      <c r="A20" s="237"/>
      <c r="B20" s="237"/>
      <c r="C20" s="237"/>
      <c r="D20" s="237"/>
      <c r="E20" s="237"/>
      <c r="F20" s="237"/>
      <c r="G20" s="237"/>
      <c r="H20" s="237"/>
      <c r="I20" s="237"/>
    </row>
    <row r="21" spans="1:14" ht="13.6">
      <c r="A21" s="244" t="s">
        <v>25</v>
      </c>
      <c r="B21" s="244"/>
      <c r="C21" s="244"/>
      <c r="D21" s="244"/>
      <c r="E21" s="244"/>
      <c r="F21" s="244"/>
      <c r="G21" s="244"/>
      <c r="H21" s="244"/>
      <c r="I21" s="244"/>
    </row>
    <row r="22" spans="1:14" ht="13.6">
      <c r="A22" s="1">
        <v>1</v>
      </c>
      <c r="B22" s="245" t="s">
        <v>26</v>
      </c>
      <c r="C22" s="245"/>
      <c r="D22" s="245"/>
      <c r="E22" s="245"/>
      <c r="F22" s="245"/>
      <c r="G22" s="245"/>
      <c r="H22" s="1" t="s">
        <v>27</v>
      </c>
      <c r="I22" s="1" t="s">
        <v>28</v>
      </c>
    </row>
    <row r="23" spans="1:14" ht="13.6">
      <c r="A23" s="1" t="s">
        <v>2</v>
      </c>
      <c r="B23" s="315" t="s">
        <v>236</v>
      </c>
      <c r="C23" s="240"/>
      <c r="D23" s="240"/>
      <c r="E23" s="240"/>
      <c r="F23" s="240"/>
      <c r="G23" s="240"/>
      <c r="H23" s="3"/>
      <c r="I23" s="14">
        <f>H17</f>
        <v>1763.44</v>
      </c>
    </row>
    <row r="24" spans="1:14" ht="13.6">
      <c r="A24" s="1" t="s">
        <v>4</v>
      </c>
      <c r="B24" s="240" t="s">
        <v>238</v>
      </c>
      <c r="C24" s="240"/>
      <c r="D24" s="240"/>
      <c r="E24" s="240"/>
      <c r="F24" s="240"/>
      <c r="G24" s="240"/>
      <c r="H24" s="6"/>
      <c r="I24" s="14">
        <v>0</v>
      </c>
    </row>
    <row r="25" spans="1:14" ht="13.6">
      <c r="A25" s="1" t="s">
        <v>7</v>
      </c>
      <c r="B25" s="315" t="s">
        <v>258</v>
      </c>
      <c r="C25" s="240"/>
      <c r="D25" s="240"/>
      <c r="E25" s="240"/>
      <c r="F25" s="240"/>
      <c r="G25" s="240"/>
      <c r="H25" s="6"/>
      <c r="I25" s="14">
        <f>H25*I23</f>
        <v>0</v>
      </c>
    </row>
    <row r="26" spans="1:14" ht="13.6">
      <c r="A26" s="1" t="s">
        <v>9</v>
      </c>
      <c r="B26" s="315" t="s">
        <v>257</v>
      </c>
      <c r="C26" s="240"/>
      <c r="D26" s="240"/>
      <c r="E26" s="240"/>
      <c r="F26" s="240"/>
      <c r="G26" s="240"/>
      <c r="H26" s="6"/>
      <c r="I26" s="14">
        <v>0</v>
      </c>
    </row>
    <row r="27" spans="1:14" ht="13.6">
      <c r="A27" s="1" t="s">
        <v>33</v>
      </c>
      <c r="B27" s="240" t="s">
        <v>34</v>
      </c>
      <c r="C27" s="240"/>
      <c r="D27" s="240"/>
      <c r="E27" s="240"/>
      <c r="F27" s="240"/>
      <c r="G27" s="240"/>
      <c r="H27" s="7"/>
      <c r="I27" s="14">
        <v>0</v>
      </c>
    </row>
    <row r="28" spans="1:14" ht="13.6">
      <c r="A28" s="1" t="s">
        <v>35</v>
      </c>
      <c r="B28" s="315" t="s">
        <v>273</v>
      </c>
      <c r="C28" s="315"/>
      <c r="D28" s="315"/>
      <c r="E28" s="315"/>
      <c r="F28" s="315"/>
      <c r="G28" s="315"/>
      <c r="H28" s="6">
        <v>0.15</v>
      </c>
      <c r="I28" s="209">
        <f>H28*1730.75</f>
        <v>259.61250000000001</v>
      </c>
      <c r="J28" s="211"/>
      <c r="K28" s="211"/>
      <c r="L28" s="211"/>
      <c r="M28" s="211"/>
      <c r="N28" s="211"/>
    </row>
    <row r="29" spans="1:14" ht="13.6">
      <c r="A29" s="245" t="s">
        <v>37</v>
      </c>
      <c r="B29" s="245"/>
      <c r="C29" s="245"/>
      <c r="D29" s="245"/>
      <c r="E29" s="245"/>
      <c r="F29" s="245"/>
      <c r="G29" s="245"/>
      <c r="H29" s="245"/>
      <c r="I29" s="15">
        <f>TRUNC(SUM(I23:I28),2)</f>
        <v>2023.05</v>
      </c>
    </row>
    <row r="30" spans="1:14" ht="13.6">
      <c r="A30" s="8"/>
      <c r="B30" s="8"/>
      <c r="C30" s="8"/>
      <c r="D30" s="8"/>
      <c r="E30" s="8"/>
      <c r="F30" s="8"/>
      <c r="G30" s="8"/>
      <c r="H30" s="8"/>
      <c r="I30" s="16"/>
    </row>
    <row r="31" spans="1:14" ht="13.6">
      <c r="A31" s="244" t="s">
        <v>38</v>
      </c>
      <c r="B31" s="244"/>
      <c r="C31" s="244"/>
      <c r="D31" s="244"/>
      <c r="E31" s="244"/>
      <c r="F31" s="244"/>
      <c r="G31" s="244"/>
      <c r="H31" s="244"/>
      <c r="I31" s="244"/>
    </row>
    <row r="32" spans="1:14" ht="13.6">
      <c r="A32" s="323" t="s">
        <v>39</v>
      </c>
      <c r="B32" s="245"/>
      <c r="C32" s="245"/>
      <c r="D32" s="245"/>
      <c r="E32" s="245"/>
      <c r="F32" s="245"/>
      <c r="G32" s="245"/>
      <c r="H32" s="1" t="s">
        <v>27</v>
      </c>
      <c r="I32" s="1" t="s">
        <v>28</v>
      </c>
    </row>
    <row r="33" spans="1:13" ht="13.6">
      <c r="A33" s="1" t="s">
        <v>2</v>
      </c>
      <c r="B33" s="315" t="s">
        <v>260</v>
      </c>
      <c r="C33" s="240"/>
      <c r="D33" s="240"/>
      <c r="E33" s="240"/>
      <c r="F33" s="240"/>
      <c r="G33" s="240"/>
      <c r="H33" s="9">
        <v>8.3299999999999999E-2</v>
      </c>
      <c r="I33" s="14">
        <f>$I$29*H33</f>
        <v>168.52006499999999</v>
      </c>
    </row>
    <row r="34" spans="1:13" ht="13.6">
      <c r="A34" s="1" t="s">
        <v>4</v>
      </c>
      <c r="B34" s="240" t="s">
        <v>271</v>
      </c>
      <c r="C34" s="240"/>
      <c r="D34" s="240"/>
      <c r="E34" s="240"/>
      <c r="F34" s="240"/>
      <c r="G34" s="240"/>
      <c r="H34" s="9">
        <v>8.3299999999999999E-2</v>
      </c>
      <c r="I34" s="14">
        <f>(H34*I29)</f>
        <v>168.52006499999999</v>
      </c>
      <c r="J34" s="212"/>
      <c r="K34" s="211"/>
    </row>
    <row r="35" spans="1:13" ht="13.6">
      <c r="A35" s="1" t="s">
        <v>7</v>
      </c>
      <c r="B35" s="240" t="s">
        <v>272</v>
      </c>
      <c r="C35" s="240"/>
      <c r="D35" s="240"/>
      <c r="E35" s="240"/>
      <c r="F35" s="240"/>
      <c r="G35" s="240"/>
      <c r="H35" s="9">
        <v>2.7799999999999998E-2</v>
      </c>
      <c r="I35" s="14">
        <f>(H35*I29)</f>
        <v>56.240789999999997</v>
      </c>
      <c r="J35" s="212"/>
      <c r="K35" s="211"/>
      <c r="L35" s="211"/>
      <c r="M35" s="211"/>
    </row>
    <row r="36" spans="1:13" ht="13.6">
      <c r="A36" s="245" t="s">
        <v>42</v>
      </c>
      <c r="B36" s="245"/>
      <c r="C36" s="245"/>
      <c r="D36" s="245"/>
      <c r="E36" s="245"/>
      <c r="F36" s="245"/>
      <c r="G36" s="245"/>
      <c r="H36" s="11">
        <f>TRUNC(SUM(H33:H35),4)</f>
        <v>0.19439999999999999</v>
      </c>
      <c r="I36" s="15">
        <f>TRUNC(SUM(I33:I35),2)</f>
        <v>393.28</v>
      </c>
    </row>
    <row r="37" spans="1:13" ht="13.6">
      <c r="A37" s="324" t="s">
        <v>282</v>
      </c>
      <c r="B37" s="325"/>
      <c r="C37" s="325"/>
      <c r="D37" s="325"/>
      <c r="E37" s="325"/>
      <c r="F37" s="325"/>
      <c r="G37" s="325"/>
      <c r="H37" s="222"/>
      <c r="I37" s="223">
        <f>SUM(I29,I36)</f>
        <v>2416.33</v>
      </c>
      <c r="J37" s="17"/>
      <c r="K37" s="16"/>
    </row>
    <row r="38" spans="1:13" ht="13.6">
      <c r="A38" s="245" t="s">
        <v>44</v>
      </c>
      <c r="B38" s="245"/>
      <c r="C38" s="245"/>
      <c r="D38" s="245"/>
      <c r="E38" s="245"/>
      <c r="F38" s="245"/>
      <c r="G38" s="245"/>
      <c r="H38" s="1" t="s">
        <v>27</v>
      </c>
      <c r="I38" s="1" t="s">
        <v>28</v>
      </c>
    </row>
    <row r="39" spans="1:13" ht="13.6">
      <c r="A39" s="1" t="s">
        <v>2</v>
      </c>
      <c r="B39" s="315" t="s">
        <v>232</v>
      </c>
      <c r="C39" s="240"/>
      <c r="D39" s="240"/>
      <c r="E39" s="240"/>
      <c r="F39" s="240"/>
      <c r="G39" s="240"/>
      <c r="H39" s="9">
        <v>0.2</v>
      </c>
      <c r="I39" s="14">
        <f>H39*$I$37</f>
        <v>483.26600000000002</v>
      </c>
    </row>
    <row r="40" spans="1:13" ht="13.6">
      <c r="A40" s="1" t="s">
        <v>4</v>
      </c>
      <c r="B40" s="315" t="s">
        <v>233</v>
      </c>
      <c r="C40" s="240"/>
      <c r="D40" s="240"/>
      <c r="E40" s="240"/>
      <c r="F40" s="240"/>
      <c r="G40" s="240"/>
      <c r="H40" s="9">
        <v>2.5000000000000001E-2</v>
      </c>
      <c r="I40" s="14">
        <f t="shared" ref="I40:I46" si="0">H40*$I$37</f>
        <v>60.408250000000002</v>
      </c>
    </row>
    <row r="41" spans="1:13" ht="13.6">
      <c r="A41" s="1" t="s">
        <v>7</v>
      </c>
      <c r="B41" s="315" t="s">
        <v>276</v>
      </c>
      <c r="C41" s="240"/>
      <c r="D41" s="240"/>
      <c r="E41" s="240"/>
      <c r="F41" s="240"/>
      <c r="G41" s="240"/>
      <c r="H41" s="219">
        <f>3%*2</f>
        <v>0.06</v>
      </c>
      <c r="I41" s="14">
        <f t="shared" si="0"/>
        <v>144.97979999999998</v>
      </c>
    </row>
    <row r="42" spans="1:13" ht="13.6">
      <c r="A42" s="1" t="s">
        <v>9</v>
      </c>
      <c r="B42" s="315" t="s">
        <v>263</v>
      </c>
      <c r="C42" s="240"/>
      <c r="D42" s="240"/>
      <c r="E42" s="240"/>
      <c r="F42" s="240"/>
      <c r="G42" s="240"/>
      <c r="H42" s="9">
        <v>1.4999999999999999E-2</v>
      </c>
      <c r="I42" s="14">
        <f t="shared" si="0"/>
        <v>36.244949999999996</v>
      </c>
    </row>
    <row r="43" spans="1:13" ht="13.6">
      <c r="A43" s="1" t="s">
        <v>33</v>
      </c>
      <c r="B43" s="315" t="s">
        <v>264</v>
      </c>
      <c r="C43" s="240"/>
      <c r="D43" s="240"/>
      <c r="E43" s="240"/>
      <c r="F43" s="240"/>
      <c r="G43" s="240"/>
      <c r="H43" s="9">
        <v>0.01</v>
      </c>
      <c r="I43" s="14">
        <f t="shared" si="0"/>
        <v>24.1633</v>
      </c>
    </row>
    <row r="44" spans="1:13" ht="13.6">
      <c r="A44" s="1" t="s">
        <v>35</v>
      </c>
      <c r="B44" s="315" t="s">
        <v>268</v>
      </c>
      <c r="C44" s="240"/>
      <c r="D44" s="240"/>
      <c r="E44" s="240"/>
      <c r="F44" s="240"/>
      <c r="G44" s="240"/>
      <c r="H44" s="9">
        <v>6.0000000000000001E-3</v>
      </c>
      <c r="I44" s="14">
        <f t="shared" si="0"/>
        <v>14.49798</v>
      </c>
    </row>
    <row r="45" spans="1:13" ht="13.6">
      <c r="A45" s="1" t="s">
        <v>51</v>
      </c>
      <c r="B45" s="327" t="s">
        <v>265</v>
      </c>
      <c r="C45" s="240"/>
      <c r="D45" s="240"/>
      <c r="E45" s="240"/>
      <c r="F45" s="240"/>
      <c r="G45" s="240"/>
      <c r="H45" s="9">
        <v>2E-3</v>
      </c>
      <c r="I45" s="14">
        <f t="shared" si="0"/>
        <v>4.8326599999999997</v>
      </c>
    </row>
    <row r="46" spans="1:13" ht="13.6">
      <c r="A46" s="1" t="s">
        <v>53</v>
      </c>
      <c r="B46" s="315" t="s">
        <v>266</v>
      </c>
      <c r="C46" s="240"/>
      <c r="D46" s="240"/>
      <c r="E46" s="240"/>
      <c r="F46" s="240"/>
      <c r="G46" s="240"/>
      <c r="H46" s="9">
        <v>0.08</v>
      </c>
      <c r="I46" s="14">
        <f t="shared" si="0"/>
        <v>193.3064</v>
      </c>
    </row>
    <row r="47" spans="1:13" ht="13.6">
      <c r="A47" s="245" t="s">
        <v>55</v>
      </c>
      <c r="B47" s="245"/>
      <c r="C47" s="245"/>
      <c r="D47" s="245"/>
      <c r="E47" s="245"/>
      <c r="F47" s="245"/>
      <c r="G47" s="245"/>
      <c r="H47" s="11">
        <f>SUM(H39:H46)</f>
        <v>0.39800000000000008</v>
      </c>
      <c r="I47" s="15">
        <f>TRUNC(SUM(I39:I46),2)</f>
        <v>961.69</v>
      </c>
    </row>
    <row r="48" spans="1:13" ht="13.6">
      <c r="A48" s="248"/>
      <c r="B48" s="248"/>
      <c r="C48" s="248"/>
      <c r="D48" s="248"/>
      <c r="E48" s="248"/>
      <c r="F48" s="248"/>
      <c r="G48" s="248"/>
      <c r="H48" s="248"/>
      <c r="I48" s="249"/>
    </row>
    <row r="49" spans="1:11" ht="13.6">
      <c r="A49" s="245" t="s">
        <v>56</v>
      </c>
      <c r="B49" s="245"/>
      <c r="C49" s="245"/>
      <c r="D49" s="245"/>
      <c r="E49" s="245"/>
      <c r="F49" s="245"/>
      <c r="G49" s="245"/>
      <c r="H49" s="11"/>
      <c r="I49" s="1" t="s">
        <v>28</v>
      </c>
    </row>
    <row r="50" spans="1:11" ht="13.6">
      <c r="A50" s="1" t="s">
        <v>2</v>
      </c>
      <c r="B50" s="309" t="s">
        <v>274</v>
      </c>
      <c r="C50" s="250"/>
      <c r="D50" s="250"/>
      <c r="E50" s="250"/>
      <c r="F50" s="250"/>
      <c r="G50" s="250"/>
      <c r="H50" s="2" t="s">
        <v>58</v>
      </c>
      <c r="I50" s="18">
        <f>(5.5*2*22)-(I23*0.06)</f>
        <v>136.1936</v>
      </c>
    </row>
    <row r="51" spans="1:11" ht="13.6">
      <c r="A51" s="1" t="s">
        <v>4</v>
      </c>
      <c r="B51" s="309" t="s">
        <v>281</v>
      </c>
      <c r="C51" s="250"/>
      <c r="D51" s="250"/>
      <c r="E51" s="250"/>
      <c r="F51" s="250"/>
      <c r="G51" s="250"/>
      <c r="H51" s="2" t="s">
        <v>58</v>
      </c>
      <c r="I51" s="210">
        <f>(25*22)-(550*0.1)</f>
        <v>495</v>
      </c>
    </row>
    <row r="52" spans="1:11" ht="13.6">
      <c r="A52" s="1" t="s">
        <v>7</v>
      </c>
      <c r="B52" s="250" t="s">
        <v>60</v>
      </c>
      <c r="C52" s="250"/>
      <c r="D52" s="250"/>
      <c r="E52" s="250"/>
      <c r="F52" s="250"/>
      <c r="G52" s="250"/>
      <c r="H52" s="2" t="s">
        <v>58</v>
      </c>
      <c r="I52" s="18">
        <v>0</v>
      </c>
    </row>
    <row r="53" spans="1:11" ht="13.6">
      <c r="A53" s="1" t="s">
        <v>9</v>
      </c>
      <c r="B53" s="326" t="s">
        <v>289</v>
      </c>
      <c r="C53" s="252"/>
      <c r="D53" s="252"/>
      <c r="E53" s="252"/>
      <c r="F53" s="252"/>
      <c r="G53" s="253"/>
      <c r="H53" s="2" t="s">
        <v>58</v>
      </c>
      <c r="I53" s="18">
        <v>21.6</v>
      </c>
    </row>
    <row r="54" spans="1:11" ht="13.6">
      <c r="A54" s="1" t="s">
        <v>33</v>
      </c>
      <c r="B54" s="326" t="s">
        <v>290</v>
      </c>
      <c r="C54" s="252"/>
      <c r="D54" s="252"/>
      <c r="E54" s="252"/>
      <c r="F54" s="252"/>
      <c r="G54" s="253"/>
      <c r="H54" s="2" t="s">
        <v>58</v>
      </c>
      <c r="I54" s="18">
        <f>45/12</f>
        <v>3.75</v>
      </c>
      <c r="J54" s="211"/>
      <c r="K54" t="s">
        <v>269</v>
      </c>
    </row>
    <row r="55" spans="1:11" ht="13.6">
      <c r="A55" s="1" t="s">
        <v>35</v>
      </c>
      <c r="B55" s="328" t="s">
        <v>234</v>
      </c>
      <c r="C55" s="328"/>
      <c r="D55" s="328"/>
      <c r="E55" s="328"/>
      <c r="F55" s="328"/>
      <c r="G55" s="328"/>
      <c r="H55" s="2" t="s">
        <v>58</v>
      </c>
      <c r="I55" s="18">
        <v>0</v>
      </c>
    </row>
    <row r="56" spans="1:11" ht="13.6">
      <c r="A56" s="245" t="s">
        <v>62</v>
      </c>
      <c r="B56" s="245"/>
      <c r="C56" s="245"/>
      <c r="D56" s="245"/>
      <c r="E56" s="245"/>
      <c r="F56" s="245"/>
      <c r="G56" s="245"/>
      <c r="H56" s="245"/>
      <c r="I56" s="15">
        <f>TRUNC(SUM(I50:I55),2)</f>
        <v>656.54</v>
      </c>
    </row>
    <row r="57" spans="1:11" ht="13.6">
      <c r="A57" s="248"/>
      <c r="B57" s="248"/>
      <c r="C57" s="248"/>
      <c r="D57" s="248"/>
      <c r="E57" s="248"/>
      <c r="F57" s="248"/>
      <c r="G57" s="248"/>
      <c r="H57" s="248"/>
      <c r="I57" s="249"/>
    </row>
    <row r="58" spans="1:11" ht="13.6">
      <c r="A58" s="329" t="s">
        <v>63</v>
      </c>
      <c r="B58" s="329"/>
      <c r="C58" s="329"/>
      <c r="D58" s="329"/>
      <c r="E58" s="329"/>
      <c r="F58" s="329"/>
      <c r="G58" s="329"/>
      <c r="H58" s="329"/>
      <c r="I58" s="329"/>
    </row>
    <row r="59" spans="1:11" ht="13.6">
      <c r="A59" s="245" t="s">
        <v>64</v>
      </c>
      <c r="B59" s="245"/>
      <c r="C59" s="245"/>
      <c r="D59" s="245"/>
      <c r="E59" s="245"/>
      <c r="F59" s="245"/>
      <c r="G59" s="245"/>
      <c r="H59" s="245"/>
      <c r="I59" s="1" t="s">
        <v>28</v>
      </c>
    </row>
    <row r="60" spans="1:11" ht="13.6">
      <c r="A60" s="1" t="s">
        <v>65</v>
      </c>
      <c r="B60" s="240" t="s">
        <v>66</v>
      </c>
      <c r="C60" s="240"/>
      <c r="D60" s="240"/>
      <c r="E60" s="240"/>
      <c r="F60" s="240"/>
      <c r="G60" s="240"/>
      <c r="H60" s="240"/>
      <c r="I60" s="14">
        <f>I36</f>
        <v>393.28</v>
      </c>
    </row>
    <row r="61" spans="1:11" ht="13.6">
      <c r="A61" s="1" t="s">
        <v>67</v>
      </c>
      <c r="B61" s="240" t="s">
        <v>68</v>
      </c>
      <c r="C61" s="240"/>
      <c r="D61" s="240"/>
      <c r="E61" s="240"/>
      <c r="F61" s="240"/>
      <c r="G61" s="240"/>
      <c r="H61" s="240"/>
      <c r="I61" s="14">
        <f>I47</f>
        <v>961.69</v>
      </c>
    </row>
    <row r="62" spans="1:11" ht="13.6">
      <c r="A62" s="1" t="s">
        <v>69</v>
      </c>
      <c r="B62" s="240" t="s">
        <v>70</v>
      </c>
      <c r="C62" s="240"/>
      <c r="D62" s="240"/>
      <c r="E62" s="240"/>
      <c r="F62" s="240"/>
      <c r="G62" s="240"/>
      <c r="H62" s="240"/>
      <c r="I62" s="14">
        <f>I56</f>
        <v>656.54</v>
      </c>
    </row>
    <row r="63" spans="1:11" ht="13.6">
      <c r="A63" s="245" t="s">
        <v>71</v>
      </c>
      <c r="B63" s="245"/>
      <c r="C63" s="245"/>
      <c r="D63" s="245"/>
      <c r="E63" s="245"/>
      <c r="F63" s="245"/>
      <c r="G63" s="245"/>
      <c r="H63" s="245"/>
      <c r="I63" s="15">
        <f>TRUNC(SUM(I60:I62),2)</f>
        <v>2011.51</v>
      </c>
    </row>
    <row r="64" spans="1:11" ht="13.6">
      <c r="A64" s="324" t="s">
        <v>283</v>
      </c>
      <c r="B64" s="325"/>
      <c r="C64" s="325"/>
      <c r="D64" s="325"/>
      <c r="E64" s="325"/>
      <c r="F64" s="325"/>
      <c r="G64" s="325"/>
      <c r="H64" s="325"/>
      <c r="I64" s="325"/>
    </row>
    <row r="65" spans="1:12" ht="13.6">
      <c r="A65" s="330" t="s">
        <v>72</v>
      </c>
      <c r="B65" s="330"/>
      <c r="C65" s="330"/>
      <c r="D65" s="330"/>
      <c r="E65" s="330"/>
      <c r="F65" s="330"/>
      <c r="G65" s="330"/>
      <c r="H65" s="330"/>
      <c r="I65" s="330"/>
      <c r="K65" s="211"/>
    </row>
    <row r="66" spans="1:12" ht="13.6">
      <c r="A66" s="1">
        <v>3</v>
      </c>
      <c r="B66" s="245" t="s">
        <v>73</v>
      </c>
      <c r="C66" s="245"/>
      <c r="D66" s="245"/>
      <c r="E66" s="245"/>
      <c r="F66" s="245"/>
      <c r="G66" s="245"/>
      <c r="H66" s="1" t="s">
        <v>27</v>
      </c>
      <c r="I66" s="1" t="s">
        <v>28</v>
      </c>
    </row>
    <row r="67" spans="1:12" ht="13.6">
      <c r="A67" s="1" t="s">
        <v>2</v>
      </c>
      <c r="B67" s="240" t="s">
        <v>74</v>
      </c>
      <c r="C67" s="240"/>
      <c r="D67" s="240"/>
      <c r="E67" s="240"/>
      <c r="F67" s="240"/>
      <c r="G67" s="240"/>
      <c r="H67" s="219">
        <v>4.1999999999999997E-3</v>
      </c>
      <c r="I67" s="14">
        <f>H67*I29</f>
        <v>8.49681</v>
      </c>
      <c r="K67" s="211"/>
    </row>
    <row r="68" spans="1:12" ht="13.6">
      <c r="A68" s="1" t="s">
        <v>4</v>
      </c>
      <c r="B68" s="315" t="s">
        <v>75</v>
      </c>
      <c r="C68" s="240"/>
      <c r="D68" s="240"/>
      <c r="E68" s="240"/>
      <c r="F68" s="240"/>
      <c r="G68" s="240"/>
      <c r="H68" s="219">
        <f>8%*H67</f>
        <v>3.3599999999999998E-4</v>
      </c>
      <c r="I68" s="14">
        <f>H68*I29</f>
        <v>0.67974479999999993</v>
      </c>
      <c r="K68" s="211"/>
    </row>
    <row r="69" spans="1:12" ht="13.6">
      <c r="A69" s="1" t="s">
        <v>7</v>
      </c>
      <c r="B69" s="315" t="s">
        <v>277</v>
      </c>
      <c r="C69" s="240"/>
      <c r="D69" s="240"/>
      <c r="E69" s="240"/>
      <c r="F69" s="240"/>
      <c r="G69" s="240"/>
      <c r="H69" s="219">
        <f>(1+16.66%+(33.33%*8.33%))*8%*40%*90%</f>
        <v>3.4397680032E-2</v>
      </c>
      <c r="I69" s="14">
        <f>H69*I29</f>
        <v>69.588226588737598</v>
      </c>
    </row>
    <row r="70" spans="1:12" ht="13.6">
      <c r="A70" s="1" t="s">
        <v>9</v>
      </c>
      <c r="B70" s="315" t="s">
        <v>275</v>
      </c>
      <c r="C70" s="240"/>
      <c r="D70" s="240"/>
      <c r="E70" s="240"/>
      <c r="F70" s="240"/>
      <c r="G70" s="240"/>
      <c r="H70" s="219">
        <v>1.9400000000000001E-2</v>
      </c>
      <c r="I70" s="14">
        <f>H70*I29</f>
        <v>39.247169999999997</v>
      </c>
      <c r="J70" s="211"/>
      <c r="K70" s="211"/>
    </row>
    <row r="71" spans="1:12" ht="13.6">
      <c r="A71" s="1" t="s">
        <v>33</v>
      </c>
      <c r="B71" s="315" t="s">
        <v>78</v>
      </c>
      <c r="C71" s="315"/>
      <c r="D71" s="315"/>
      <c r="E71" s="315"/>
      <c r="F71" s="315"/>
      <c r="G71" s="315"/>
      <c r="H71" s="219">
        <f>H47*H70</f>
        <v>7.7212000000000018E-3</v>
      </c>
      <c r="I71" s="14">
        <f>H71*I29</f>
        <v>15.620373660000004</v>
      </c>
      <c r="K71" s="215"/>
    </row>
    <row r="72" spans="1:12" ht="13.6">
      <c r="A72" s="1" t="s">
        <v>35</v>
      </c>
      <c r="B72" s="315" t="s">
        <v>250</v>
      </c>
      <c r="C72" s="240"/>
      <c r="D72" s="240"/>
      <c r="E72" s="240"/>
      <c r="F72" s="240"/>
      <c r="G72" s="240"/>
      <c r="H72" s="221">
        <f>H70*0.4*0.08</f>
        <v>6.2080000000000002E-4</v>
      </c>
      <c r="I72" s="14">
        <f>H72*K37</f>
        <v>0</v>
      </c>
    </row>
    <row r="73" spans="1:12" ht="13.6">
      <c r="A73" s="245" t="s">
        <v>80</v>
      </c>
      <c r="B73" s="245"/>
      <c r="C73" s="245"/>
      <c r="D73" s="245"/>
      <c r="E73" s="245"/>
      <c r="F73" s="245"/>
      <c r="G73" s="245"/>
      <c r="H73" s="11">
        <f>TRUNC(SUM(H67:H72),4)</f>
        <v>6.6600000000000006E-2</v>
      </c>
      <c r="I73" s="15">
        <f>TRUNC(SUM(I67:I72),2)</f>
        <v>133.63</v>
      </c>
    </row>
    <row r="74" spans="1:12" ht="13.6">
      <c r="A74" s="331" t="s">
        <v>284</v>
      </c>
      <c r="B74" s="332"/>
      <c r="C74" s="332"/>
      <c r="D74" s="332"/>
      <c r="E74" s="332"/>
      <c r="F74" s="332"/>
      <c r="G74" s="332"/>
      <c r="H74" s="332"/>
      <c r="I74" s="332"/>
    </row>
    <row r="75" spans="1:12" ht="13.6">
      <c r="A75" s="330" t="s">
        <v>81</v>
      </c>
      <c r="B75" s="330"/>
      <c r="C75" s="330"/>
      <c r="D75" s="330"/>
      <c r="E75" s="330"/>
      <c r="F75" s="330"/>
      <c r="G75" s="330"/>
      <c r="H75" s="330"/>
      <c r="I75" s="330"/>
    </row>
    <row r="76" spans="1:12" ht="13.6">
      <c r="A76" s="245" t="s">
        <v>82</v>
      </c>
      <c r="B76" s="245"/>
      <c r="C76" s="245"/>
      <c r="D76" s="245"/>
      <c r="E76" s="245"/>
      <c r="F76" s="245"/>
      <c r="G76" s="245"/>
      <c r="H76" s="1" t="s">
        <v>27</v>
      </c>
      <c r="I76" s="1" t="s">
        <v>28</v>
      </c>
      <c r="L76" s="211"/>
    </row>
    <row r="77" spans="1:12" ht="13.6">
      <c r="A77" s="1" t="s">
        <v>2</v>
      </c>
      <c r="B77" s="240" t="s">
        <v>83</v>
      </c>
      <c r="C77" s="240"/>
      <c r="D77" s="240"/>
      <c r="E77" s="240"/>
      <c r="F77" s="240"/>
      <c r="G77" s="240"/>
      <c r="H77" s="219">
        <v>8.3299999999999999E-2</v>
      </c>
      <c r="I77" s="14">
        <f>$I$29*H77</f>
        <v>168.52006499999999</v>
      </c>
      <c r="L77" s="211"/>
    </row>
    <row r="78" spans="1:12" ht="13.6">
      <c r="A78" s="1" t="s">
        <v>4</v>
      </c>
      <c r="B78" s="315" t="s">
        <v>279</v>
      </c>
      <c r="C78" s="240"/>
      <c r="D78" s="240"/>
      <c r="E78" s="240"/>
      <c r="F78" s="240"/>
      <c r="G78" s="240"/>
      <c r="H78" s="219">
        <v>2.8E-3</v>
      </c>
      <c r="I78" s="14">
        <f t="shared" ref="I78:I82" si="1">$I$29*H78</f>
        <v>5.6645399999999997</v>
      </c>
      <c r="J78" s="211"/>
    </row>
    <row r="79" spans="1:12" ht="13.6">
      <c r="A79" s="1" t="s">
        <v>7</v>
      </c>
      <c r="B79" s="240" t="s">
        <v>85</v>
      </c>
      <c r="C79" s="240"/>
      <c r="D79" s="240"/>
      <c r="E79" s="240"/>
      <c r="F79" s="240"/>
      <c r="G79" s="240"/>
      <c r="H79" s="219">
        <v>2.0000000000000001E-4</v>
      </c>
      <c r="I79" s="14">
        <f t="shared" si="1"/>
        <v>0.40461000000000003</v>
      </c>
    </row>
    <row r="80" spans="1:12" ht="13.6">
      <c r="A80" s="1" t="s">
        <v>9</v>
      </c>
      <c r="B80" s="240" t="s">
        <v>86</v>
      </c>
      <c r="C80" s="240"/>
      <c r="D80" s="240"/>
      <c r="E80" s="240"/>
      <c r="F80" s="240"/>
      <c r="G80" s="240"/>
      <c r="H80" s="219">
        <v>8.0000000000000004E-4</v>
      </c>
      <c r="I80" s="14">
        <f t="shared" si="1"/>
        <v>1.6184400000000001</v>
      </c>
    </row>
    <row r="81" spans="1:12" ht="13.6">
      <c r="A81" s="1" t="s">
        <v>33</v>
      </c>
      <c r="B81" s="315" t="s">
        <v>87</v>
      </c>
      <c r="C81" s="240"/>
      <c r="D81" s="240"/>
      <c r="E81" s="240"/>
      <c r="F81" s="240"/>
      <c r="G81" s="240"/>
      <c r="H81" s="219">
        <v>8.0000000000000004E-4</v>
      </c>
      <c r="I81" s="14">
        <f>$I$29*H81</f>
        <v>1.6184400000000001</v>
      </c>
      <c r="K81" s="31"/>
    </row>
    <row r="82" spans="1:12" ht="13.6">
      <c r="A82" s="1" t="s">
        <v>35</v>
      </c>
      <c r="B82" s="315" t="s">
        <v>278</v>
      </c>
      <c r="C82" s="240"/>
      <c r="D82" s="240"/>
      <c r="E82" s="240"/>
      <c r="F82" s="240"/>
      <c r="G82" s="240"/>
      <c r="H82" s="219">
        <v>1.3899999999999999E-2</v>
      </c>
      <c r="I82" s="14">
        <f t="shared" si="1"/>
        <v>28.120394999999998</v>
      </c>
    </row>
    <row r="83" spans="1:12" ht="13.6">
      <c r="A83" s="245" t="s">
        <v>89</v>
      </c>
      <c r="B83" s="245"/>
      <c r="C83" s="245"/>
      <c r="D83" s="245"/>
      <c r="E83" s="245"/>
      <c r="F83" s="245"/>
      <c r="G83" s="245"/>
      <c r="H83" s="11">
        <f>TRUNC(SUM(H77:H82),4)</f>
        <v>0.1018</v>
      </c>
      <c r="I83" s="15">
        <f>TRUNC(SUM(I77:I82),2)</f>
        <v>205.94</v>
      </c>
    </row>
    <row r="84" spans="1:12" ht="13.6">
      <c r="A84" s="260"/>
      <c r="B84" s="261"/>
      <c r="C84" s="261"/>
      <c r="D84" s="261"/>
      <c r="E84" s="261"/>
      <c r="F84" s="261"/>
      <c r="G84" s="261"/>
      <c r="H84" s="261"/>
      <c r="I84" s="261"/>
    </row>
    <row r="85" spans="1:12" ht="13.6">
      <c r="A85" s="245" t="s">
        <v>90</v>
      </c>
      <c r="B85" s="245"/>
      <c r="C85" s="245"/>
      <c r="D85" s="245"/>
      <c r="E85" s="245"/>
      <c r="F85" s="245"/>
      <c r="G85" s="245"/>
      <c r="H85" s="1" t="s">
        <v>27</v>
      </c>
      <c r="I85" s="1" t="s">
        <v>28</v>
      </c>
    </row>
    <row r="86" spans="1:12" ht="13.6">
      <c r="A86" s="1" t="s">
        <v>2</v>
      </c>
      <c r="B86" s="240" t="s">
        <v>91</v>
      </c>
      <c r="C86" s="240"/>
      <c r="D86" s="240"/>
      <c r="E86" s="240"/>
      <c r="F86" s="240"/>
      <c r="G86" s="240"/>
      <c r="H86" s="9">
        <v>0</v>
      </c>
      <c r="I86" s="14">
        <f t="shared" ref="I86" si="2">$I$29*H86</f>
        <v>0</v>
      </c>
    </row>
    <row r="87" spans="1:12" ht="13.6">
      <c r="A87" s="245" t="s">
        <v>92</v>
      </c>
      <c r="B87" s="245"/>
      <c r="C87" s="245"/>
      <c r="D87" s="245"/>
      <c r="E87" s="245"/>
      <c r="F87" s="245"/>
      <c r="G87" s="245"/>
      <c r="H87" s="11">
        <f>TRUNC(SUM(H86),4)</f>
        <v>0</v>
      </c>
      <c r="I87" s="15">
        <f>TRUNC(SUM(I86),2)</f>
        <v>0</v>
      </c>
    </row>
    <row r="88" spans="1:12" ht="13.6">
      <c r="A88" s="262"/>
      <c r="B88" s="263"/>
      <c r="C88" s="263"/>
      <c r="D88" s="263"/>
      <c r="E88" s="263"/>
      <c r="F88" s="263"/>
      <c r="G88" s="263"/>
      <c r="H88" s="263"/>
      <c r="I88" s="263"/>
    </row>
    <row r="89" spans="1:12" ht="13.6">
      <c r="A89" s="329" t="s">
        <v>93</v>
      </c>
      <c r="B89" s="329"/>
      <c r="C89" s="329"/>
      <c r="D89" s="329"/>
      <c r="E89" s="329"/>
      <c r="F89" s="329"/>
      <c r="G89" s="329"/>
      <c r="H89" s="329"/>
      <c r="I89" s="329"/>
    </row>
    <row r="90" spans="1:12" ht="13.6">
      <c r="A90" s="258" t="s">
        <v>94</v>
      </c>
      <c r="B90" s="259"/>
      <c r="C90" s="259"/>
      <c r="D90" s="259"/>
      <c r="E90" s="259"/>
      <c r="F90" s="259"/>
      <c r="G90" s="333"/>
      <c r="H90" s="1" t="s">
        <v>27</v>
      </c>
      <c r="I90" s="1" t="s">
        <v>28</v>
      </c>
    </row>
    <row r="91" spans="1:12" ht="13.6">
      <c r="A91" s="1" t="s">
        <v>95</v>
      </c>
      <c r="B91" s="326" t="s">
        <v>96</v>
      </c>
      <c r="C91" s="334"/>
      <c r="D91" s="334"/>
      <c r="E91" s="334"/>
      <c r="F91" s="334"/>
      <c r="G91" s="335"/>
      <c r="H91" s="2" t="s">
        <v>58</v>
      </c>
      <c r="I91" s="14">
        <f>I83</f>
        <v>205.94</v>
      </c>
    </row>
    <row r="92" spans="1:12" ht="13.6">
      <c r="A92" s="1" t="s">
        <v>97</v>
      </c>
      <c r="B92" s="326" t="s">
        <v>98</v>
      </c>
      <c r="C92" s="334"/>
      <c r="D92" s="334"/>
      <c r="E92" s="334"/>
      <c r="F92" s="334"/>
      <c r="G92" s="335"/>
      <c r="H92" s="2" t="s">
        <v>58</v>
      </c>
      <c r="I92" s="14">
        <f>I87</f>
        <v>0</v>
      </c>
      <c r="K92" s="211"/>
      <c r="L92" s="214"/>
    </row>
    <row r="93" spans="1:12" ht="13.6">
      <c r="A93" s="1" t="s">
        <v>252</v>
      </c>
      <c r="B93" s="326" t="s">
        <v>291</v>
      </c>
      <c r="C93" s="334"/>
      <c r="D93" s="334"/>
      <c r="E93" s="334"/>
      <c r="F93" s="334"/>
      <c r="G93" s="335"/>
      <c r="H93" s="6">
        <v>0.19359999999999999</v>
      </c>
      <c r="I93" s="228">
        <f>I91*H93</f>
        <v>39.869983999999995</v>
      </c>
      <c r="K93" s="211"/>
      <c r="L93" s="214"/>
    </row>
    <row r="94" spans="1:12" ht="13.6">
      <c r="A94" s="1" t="s">
        <v>287</v>
      </c>
      <c r="B94" s="326" t="s">
        <v>251</v>
      </c>
      <c r="C94" s="334"/>
      <c r="D94" s="334"/>
      <c r="E94" s="334"/>
      <c r="F94" s="334"/>
      <c r="G94" s="335"/>
      <c r="H94" s="6">
        <v>0.39800000000000002</v>
      </c>
      <c r="I94" s="228">
        <f>I91*H94</f>
        <v>81.964120000000008</v>
      </c>
      <c r="K94" s="211"/>
      <c r="L94" s="214"/>
    </row>
    <row r="95" spans="1:12" ht="13.6">
      <c r="A95" s="258" t="s">
        <v>99</v>
      </c>
      <c r="B95" s="259"/>
      <c r="C95" s="259"/>
      <c r="D95" s="259"/>
      <c r="E95" s="259"/>
      <c r="F95" s="259"/>
      <c r="G95" s="259"/>
      <c r="H95" s="333"/>
      <c r="I95" s="15">
        <f>TRUNC(SUM(I91:I94),2)</f>
        <v>327.77</v>
      </c>
      <c r="L95" s="217"/>
    </row>
    <row r="96" spans="1:12" ht="13.6">
      <c r="A96" s="227"/>
      <c r="B96" s="222"/>
      <c r="C96" s="222"/>
      <c r="D96" s="222"/>
      <c r="E96" s="222"/>
      <c r="F96" s="222"/>
      <c r="G96" s="222"/>
      <c r="H96" s="222"/>
      <c r="I96" s="222"/>
    </row>
    <row r="97" spans="1:11" ht="13.6">
      <c r="A97" s="330" t="s">
        <v>100</v>
      </c>
      <c r="B97" s="330"/>
      <c r="C97" s="330"/>
      <c r="D97" s="330"/>
      <c r="E97" s="330"/>
      <c r="F97" s="330"/>
      <c r="G97" s="330"/>
      <c r="H97" s="330"/>
      <c r="I97" s="330"/>
    </row>
    <row r="98" spans="1:11" ht="13.6">
      <c r="A98" s="1">
        <v>5</v>
      </c>
      <c r="B98" s="245" t="s">
        <v>101</v>
      </c>
      <c r="C98" s="245"/>
      <c r="D98" s="245"/>
      <c r="E98" s="245"/>
      <c r="F98" s="245"/>
      <c r="G98" s="245"/>
      <c r="H98" s="1"/>
      <c r="I98" s="1" t="s">
        <v>28</v>
      </c>
    </row>
    <row r="99" spans="1:11" ht="13.6">
      <c r="A99" s="1" t="s">
        <v>2</v>
      </c>
      <c r="B99" s="309" t="s">
        <v>235</v>
      </c>
      <c r="C99" s="250"/>
      <c r="D99" s="250"/>
      <c r="E99" s="250"/>
      <c r="F99" s="250"/>
      <c r="G99" s="250"/>
      <c r="H99" s="2" t="s">
        <v>58</v>
      </c>
      <c r="I99" s="231">
        <v>7.17</v>
      </c>
    </row>
    <row r="100" spans="1:11" ht="13.6">
      <c r="A100" s="1" t="s">
        <v>4</v>
      </c>
      <c r="B100" s="309" t="s">
        <v>160</v>
      </c>
      <c r="C100" s="250"/>
      <c r="D100" s="250"/>
      <c r="E100" s="250"/>
      <c r="F100" s="250"/>
      <c r="G100" s="250"/>
      <c r="H100" s="2" t="s">
        <v>58</v>
      </c>
      <c r="I100" s="230">
        <v>154.80000000000001</v>
      </c>
    </row>
    <row r="101" spans="1:11" ht="13.6">
      <c r="A101" s="13" t="s">
        <v>7</v>
      </c>
      <c r="B101" s="250" t="s">
        <v>36</v>
      </c>
      <c r="C101" s="250"/>
      <c r="D101" s="250"/>
      <c r="E101" s="250"/>
      <c r="F101" s="250"/>
      <c r="G101" s="250"/>
      <c r="H101" s="2" t="s">
        <v>58</v>
      </c>
      <c r="I101" s="14">
        <v>0</v>
      </c>
    </row>
    <row r="102" spans="1:11" ht="13.6">
      <c r="A102" s="13" t="s">
        <v>9</v>
      </c>
      <c r="B102" s="250" t="s">
        <v>36</v>
      </c>
      <c r="C102" s="250"/>
      <c r="D102" s="250"/>
      <c r="E102" s="250"/>
      <c r="F102" s="250"/>
      <c r="G102" s="250"/>
      <c r="H102" s="2" t="s">
        <v>58</v>
      </c>
      <c r="I102" s="14">
        <v>0</v>
      </c>
    </row>
    <row r="103" spans="1:11" ht="13.6">
      <c r="A103" s="245" t="s">
        <v>105</v>
      </c>
      <c r="B103" s="245"/>
      <c r="C103" s="245"/>
      <c r="D103" s="245"/>
      <c r="E103" s="245"/>
      <c r="F103" s="245"/>
      <c r="G103" s="245"/>
      <c r="H103" s="219" t="s">
        <v>58</v>
      </c>
      <c r="I103" s="15">
        <f>TRUNC(SUM(I99:I102),2)</f>
        <v>161.97</v>
      </c>
    </row>
    <row r="104" spans="1:11" ht="13.6">
      <c r="A104" s="255"/>
      <c r="B104" s="256"/>
      <c r="C104" s="256"/>
      <c r="D104" s="256"/>
      <c r="E104" s="256"/>
      <c r="F104" s="256"/>
      <c r="G104" s="256"/>
      <c r="H104" s="256"/>
      <c r="I104" s="256"/>
    </row>
    <row r="105" spans="1:11" ht="13.6">
      <c r="A105" s="330" t="s">
        <v>106</v>
      </c>
      <c r="B105" s="330"/>
      <c r="C105" s="330"/>
      <c r="D105" s="330"/>
      <c r="E105" s="330"/>
      <c r="F105" s="330"/>
      <c r="G105" s="330"/>
      <c r="H105" s="330"/>
      <c r="I105" s="330"/>
    </row>
    <row r="106" spans="1:11" ht="13.6">
      <c r="A106" s="1">
        <v>6</v>
      </c>
      <c r="B106" s="245" t="s">
        <v>286</v>
      </c>
      <c r="C106" s="245"/>
      <c r="D106" s="245"/>
      <c r="E106" s="245"/>
      <c r="F106" s="245"/>
      <c r="G106" s="245"/>
      <c r="H106" s="1" t="s">
        <v>27</v>
      </c>
      <c r="I106" s="1" t="s">
        <v>28</v>
      </c>
    </row>
    <row r="107" spans="1:11" ht="13.6">
      <c r="A107" s="1" t="s">
        <v>2</v>
      </c>
      <c r="B107" s="240" t="s">
        <v>108</v>
      </c>
      <c r="C107" s="240"/>
      <c r="D107" s="240"/>
      <c r="E107" s="240"/>
      <c r="F107" s="240"/>
      <c r="G107" s="240"/>
      <c r="H107" s="20">
        <v>0.03</v>
      </c>
      <c r="I107" s="14">
        <f>TRUNC(H107*I131,2)</f>
        <v>139.72999999999999</v>
      </c>
      <c r="K107" s="213"/>
    </row>
    <row r="108" spans="1:11" ht="13.6">
      <c r="A108" s="1" t="s">
        <v>4</v>
      </c>
      <c r="B108" s="240" t="s">
        <v>109</v>
      </c>
      <c r="C108" s="240"/>
      <c r="D108" s="240"/>
      <c r="E108" s="240"/>
      <c r="F108" s="240"/>
      <c r="G108" s="240"/>
      <c r="H108" s="21">
        <v>6.7900000000000002E-2</v>
      </c>
      <c r="I108" s="14">
        <f>TRUNC(H108*(I107+I131),2)</f>
        <v>325.76</v>
      </c>
      <c r="K108" s="214"/>
    </row>
    <row r="109" spans="1:11" ht="13.6">
      <c r="A109" s="1" t="s">
        <v>7</v>
      </c>
      <c r="B109" s="264" t="s">
        <v>110</v>
      </c>
      <c r="C109" s="264"/>
      <c r="D109" s="264"/>
      <c r="E109" s="264"/>
      <c r="F109" s="264"/>
      <c r="G109" s="264"/>
      <c r="H109" s="6"/>
      <c r="I109" s="32"/>
    </row>
    <row r="110" spans="1:11" ht="13.6">
      <c r="A110" s="1" t="s">
        <v>111</v>
      </c>
      <c r="B110" s="240" t="s">
        <v>285</v>
      </c>
      <c r="C110" s="240"/>
      <c r="D110" s="240"/>
      <c r="E110" s="240"/>
      <c r="F110" s="240"/>
      <c r="G110" s="240"/>
      <c r="H110" s="22">
        <v>1.6500000000000001E-2</v>
      </c>
      <c r="I110" s="14">
        <f>TRUNC(H110*I120,2)</f>
        <v>98.58</v>
      </c>
      <c r="K110" s="214"/>
    </row>
    <row r="111" spans="1:11" ht="13.6">
      <c r="A111" s="1" t="s">
        <v>113</v>
      </c>
      <c r="B111" s="240" t="s">
        <v>280</v>
      </c>
      <c r="C111" s="240"/>
      <c r="D111" s="240"/>
      <c r="E111" s="240"/>
      <c r="F111" s="240"/>
      <c r="G111" s="240"/>
      <c r="H111" s="22">
        <v>7.5999999999999998E-2</v>
      </c>
      <c r="I111" s="14">
        <f>TRUNC(H111*I120,2)</f>
        <v>454.08</v>
      </c>
      <c r="K111" s="214"/>
    </row>
    <row r="112" spans="1:11" ht="13.6">
      <c r="A112" s="1" t="s">
        <v>115</v>
      </c>
      <c r="B112" s="327" t="s">
        <v>116</v>
      </c>
      <c r="C112" s="240"/>
      <c r="D112" s="240"/>
      <c r="E112" s="240"/>
      <c r="F112" s="240"/>
      <c r="G112" s="240"/>
      <c r="H112" s="224">
        <v>0.05</v>
      </c>
      <c r="I112" s="14">
        <f>TRUNC(H112*I120,2)</f>
        <v>298.74</v>
      </c>
      <c r="K112" s="214"/>
    </row>
    <row r="113" spans="1:11" ht="13.6">
      <c r="A113" s="245" t="s">
        <v>117</v>
      </c>
      <c r="B113" s="245"/>
      <c r="C113" s="245"/>
      <c r="D113" s="245"/>
      <c r="E113" s="245"/>
      <c r="F113" s="245"/>
      <c r="G113" s="245"/>
      <c r="H113" s="22">
        <f>SUM(H107:H112)</f>
        <v>0.2404</v>
      </c>
      <c r="I113" s="15">
        <f>TRUNC(SUM(I107:I112),2)</f>
        <v>1316.89</v>
      </c>
      <c r="K113" s="216"/>
    </row>
    <row r="114" spans="1:11">
      <c r="A114" s="4"/>
      <c r="B114" s="265"/>
      <c r="C114" s="265"/>
      <c r="D114" s="265"/>
      <c r="E114" s="265"/>
      <c r="F114" s="265"/>
      <c r="G114" s="265"/>
      <c r="H114" s="265"/>
      <c r="I114" s="265"/>
    </row>
    <row r="115" spans="1:11" ht="13.6">
      <c r="A115" s="23" t="s">
        <v>118</v>
      </c>
      <c r="B115" s="266" t="s">
        <v>119</v>
      </c>
      <c r="C115" s="266"/>
      <c r="D115" s="266"/>
      <c r="E115" s="266"/>
      <c r="F115" s="266"/>
      <c r="G115" s="266"/>
      <c r="H115" s="24">
        <f>TRUNC(H110+H111+H112,4)</f>
        <v>0.14249999999999999</v>
      </c>
      <c r="I115" s="33"/>
      <c r="K115" s="215"/>
    </row>
    <row r="116" spans="1:11" ht="13.6">
      <c r="A116" s="25"/>
      <c r="B116" s="267">
        <v>100</v>
      </c>
      <c r="C116" s="267"/>
      <c r="D116" s="267"/>
      <c r="E116" s="267"/>
      <c r="F116" s="267"/>
      <c r="G116" s="267"/>
      <c r="H116" s="27"/>
      <c r="I116" s="34"/>
    </row>
    <row r="117" spans="1:11" ht="13.6">
      <c r="A117" s="28"/>
      <c r="B117" s="26"/>
      <c r="C117" s="26"/>
      <c r="D117" s="26"/>
      <c r="E117" s="26"/>
      <c r="F117" s="26"/>
      <c r="G117" s="26"/>
      <c r="H117" s="27"/>
      <c r="I117" s="34"/>
    </row>
    <row r="118" spans="1:11" ht="13.6">
      <c r="A118" s="25" t="s">
        <v>120</v>
      </c>
      <c r="B118" s="267" t="s">
        <v>311</v>
      </c>
      <c r="C118" s="267"/>
      <c r="D118" s="267"/>
      <c r="E118" s="267"/>
      <c r="F118" s="267"/>
      <c r="G118" s="267"/>
      <c r="H118" s="27"/>
      <c r="I118" s="34">
        <f>TRUNC(I131+I107+I108,2)</f>
        <v>5123.42</v>
      </c>
      <c r="K118" s="214"/>
    </row>
    <row r="119" spans="1:11" ht="13.6">
      <c r="A119" s="25"/>
      <c r="B119" s="26"/>
      <c r="C119" s="26"/>
      <c r="D119" s="26"/>
      <c r="E119" s="26"/>
      <c r="F119" s="26"/>
      <c r="G119" s="26"/>
      <c r="H119" s="27"/>
      <c r="I119" s="34"/>
    </row>
    <row r="120" spans="1:11" ht="13.6">
      <c r="A120" s="25" t="s">
        <v>122</v>
      </c>
      <c r="B120" s="267" t="s">
        <v>123</v>
      </c>
      <c r="C120" s="267"/>
      <c r="D120" s="267"/>
      <c r="E120" s="267"/>
      <c r="F120" s="267"/>
      <c r="G120" s="267"/>
      <c r="H120" s="27"/>
      <c r="I120" s="34">
        <f>TRUNC(I118/(1-H115),2)</f>
        <v>5974.83</v>
      </c>
      <c r="K120" s="214"/>
    </row>
    <row r="121" spans="1:11" ht="13.6">
      <c r="A121" s="25"/>
      <c r="B121" s="26"/>
      <c r="C121" s="26"/>
      <c r="D121" s="26"/>
      <c r="E121" s="26"/>
      <c r="F121" s="26"/>
      <c r="G121" s="26"/>
      <c r="H121" s="27"/>
      <c r="I121" s="34"/>
    </row>
    <row r="122" spans="1:11" ht="13.6">
      <c r="A122" s="29"/>
      <c r="B122" s="268" t="s">
        <v>124</v>
      </c>
      <c r="C122" s="268"/>
      <c r="D122" s="268"/>
      <c r="E122" s="268"/>
      <c r="F122" s="268"/>
      <c r="G122" s="268"/>
      <c r="H122" s="30"/>
      <c r="I122" s="35">
        <f>TRUNC(I120-I118,2)</f>
        <v>851.41</v>
      </c>
      <c r="K122" s="31"/>
    </row>
    <row r="123" spans="1:11" ht="13.6">
      <c r="A123" s="4"/>
      <c r="B123" s="4"/>
      <c r="C123" s="4"/>
      <c r="D123" s="4"/>
      <c r="E123" s="4"/>
      <c r="F123" s="4"/>
      <c r="G123" s="4"/>
      <c r="H123" s="4"/>
      <c r="I123" s="16"/>
    </row>
    <row r="124" spans="1:11" ht="13.6">
      <c r="A124" s="254" t="s">
        <v>125</v>
      </c>
      <c r="B124" s="254"/>
      <c r="C124" s="254"/>
      <c r="D124" s="254"/>
      <c r="E124" s="254"/>
      <c r="F124" s="254"/>
      <c r="G124" s="254"/>
      <c r="H124" s="254"/>
      <c r="I124" s="254"/>
      <c r="K124" s="36"/>
    </row>
    <row r="125" spans="1:11" ht="13.6">
      <c r="A125" s="245" t="s">
        <v>126</v>
      </c>
      <c r="B125" s="245"/>
      <c r="C125" s="245"/>
      <c r="D125" s="245"/>
      <c r="E125" s="245"/>
      <c r="F125" s="245"/>
      <c r="G125" s="245"/>
      <c r="H125" s="245"/>
      <c r="I125" s="1" t="s">
        <v>28</v>
      </c>
    </row>
    <row r="126" spans="1:11">
      <c r="A126" s="2" t="s">
        <v>2</v>
      </c>
      <c r="B126" s="240" t="str">
        <f>A21</f>
        <v>MÓDULO 1 - COMPOSIÇÃO DA REMUNERAÇÃO</v>
      </c>
      <c r="C126" s="240"/>
      <c r="D126" s="240"/>
      <c r="E126" s="240"/>
      <c r="F126" s="240"/>
      <c r="G126" s="240"/>
      <c r="H126" s="240"/>
      <c r="I126" s="14">
        <f>I29</f>
        <v>2023.05</v>
      </c>
      <c r="K126" s="213"/>
    </row>
    <row r="127" spans="1:11">
      <c r="A127" s="2" t="s">
        <v>4</v>
      </c>
      <c r="B127" s="240" t="str">
        <f>A31</f>
        <v>MÓDULO 2 – ENCARGOS E BENEFÍCIOS ANUAIS, MENSAIS E DIÁRIOS</v>
      </c>
      <c r="C127" s="240"/>
      <c r="D127" s="240"/>
      <c r="E127" s="240"/>
      <c r="F127" s="240"/>
      <c r="G127" s="240"/>
      <c r="H127" s="240"/>
      <c r="I127" s="14">
        <f>I63</f>
        <v>2011.51</v>
      </c>
      <c r="K127" s="213"/>
    </row>
    <row r="128" spans="1:11">
      <c r="A128" s="2" t="s">
        <v>7</v>
      </c>
      <c r="B128" s="240" t="str">
        <f>A65</f>
        <v>MÓDULO 3 – PROVISÃO PARA RESCISÃO</v>
      </c>
      <c r="C128" s="240"/>
      <c r="D128" s="240"/>
      <c r="E128" s="240"/>
      <c r="F128" s="240"/>
      <c r="G128" s="240"/>
      <c r="H128" s="240"/>
      <c r="I128" s="14">
        <f>I73</f>
        <v>133.63</v>
      </c>
      <c r="K128" s="213"/>
    </row>
    <row r="129" spans="1:11">
      <c r="A129" s="2" t="s">
        <v>9</v>
      </c>
      <c r="B129" s="240" t="str">
        <f>A75</f>
        <v>MÓDULO 4 – CUSTO DE REPOSIÇÃO DO PROFISSIONAL AUSENTE</v>
      </c>
      <c r="C129" s="240"/>
      <c r="D129" s="240"/>
      <c r="E129" s="240"/>
      <c r="F129" s="240"/>
      <c r="G129" s="240"/>
      <c r="H129" s="240"/>
      <c r="I129" s="14">
        <f>I95</f>
        <v>327.77</v>
      </c>
      <c r="K129" s="213"/>
    </row>
    <row r="130" spans="1:11">
      <c r="A130" s="2" t="s">
        <v>33</v>
      </c>
      <c r="B130" s="240" t="str">
        <f>A97</f>
        <v>MÓDULO 5 – INSUMOS DIVERSOS</v>
      </c>
      <c r="C130" s="240"/>
      <c r="D130" s="240"/>
      <c r="E130" s="240"/>
      <c r="F130" s="240"/>
      <c r="G130" s="240"/>
      <c r="H130" s="240"/>
      <c r="I130" s="14">
        <f>I103</f>
        <v>161.97</v>
      </c>
      <c r="K130" s="213"/>
    </row>
    <row r="131" spans="1:11" ht="13.6">
      <c r="A131" s="1"/>
      <c r="B131" s="245" t="s">
        <v>127</v>
      </c>
      <c r="C131" s="245"/>
      <c r="D131" s="245"/>
      <c r="E131" s="245"/>
      <c r="F131" s="245"/>
      <c r="G131" s="245"/>
      <c r="H131" s="245"/>
      <c r="I131" s="15">
        <f>TRUNC(SUM(I126:I130),2)</f>
        <v>4657.93</v>
      </c>
      <c r="K131" s="213"/>
    </row>
    <row r="132" spans="1:11">
      <c r="A132" s="2" t="s">
        <v>35</v>
      </c>
      <c r="B132" s="240" t="str">
        <f>A105</f>
        <v>MÓDULO 6 – CUSTOS INDIRETOS, TRIBUTOS E LUCRO</v>
      </c>
      <c r="C132" s="240"/>
      <c r="D132" s="240"/>
      <c r="E132" s="240"/>
      <c r="F132" s="240"/>
      <c r="G132" s="240"/>
      <c r="H132" s="240"/>
      <c r="I132" s="14">
        <f>I113</f>
        <v>1316.89</v>
      </c>
      <c r="K132" s="213"/>
    </row>
    <row r="133" spans="1:11" ht="13.6">
      <c r="A133" s="245" t="s">
        <v>128</v>
      </c>
      <c r="B133" s="245"/>
      <c r="C133" s="245"/>
      <c r="D133" s="245"/>
      <c r="E133" s="245"/>
      <c r="F133" s="245"/>
      <c r="G133" s="245"/>
      <c r="H133" s="245"/>
      <c r="I133" s="15">
        <f>TRUNC(SUM(I131:I132),2)</f>
        <v>5974.82</v>
      </c>
      <c r="K133" s="216"/>
    </row>
    <row r="134" spans="1:11">
      <c r="I134" s="31"/>
    </row>
    <row r="135" spans="1:11" ht="12.75" hidden="1" customHeight="1">
      <c r="A135" s="4"/>
      <c r="B135" s="237" t="s">
        <v>129</v>
      </c>
      <c r="C135" s="237"/>
      <c r="D135" s="237"/>
      <c r="E135" s="237"/>
      <c r="F135" s="237"/>
      <c r="G135" s="237"/>
      <c r="H135" s="8"/>
      <c r="I135" s="8"/>
    </row>
    <row r="136" spans="1:11" ht="40.6" hidden="1" customHeight="1">
      <c r="A136" s="269" t="s">
        <v>130</v>
      </c>
      <c r="B136" s="270"/>
      <c r="C136" s="269" t="s">
        <v>131</v>
      </c>
      <c r="D136" s="270"/>
      <c r="E136" s="269" t="s">
        <v>132</v>
      </c>
      <c r="F136" s="270"/>
      <c r="G136" s="37" t="s">
        <v>133</v>
      </c>
      <c r="H136" s="38" t="s">
        <v>134</v>
      </c>
      <c r="I136" s="52" t="s">
        <v>28</v>
      </c>
    </row>
    <row r="137" spans="1:11" ht="12.75" hidden="1" customHeight="1">
      <c r="A137" s="271" t="s">
        <v>135</v>
      </c>
      <c r="B137" s="272"/>
      <c r="C137" s="273" t="s">
        <v>136</v>
      </c>
      <c r="D137" s="274"/>
      <c r="E137" s="275"/>
      <c r="F137" s="276"/>
      <c r="G137" s="40" t="s">
        <v>136</v>
      </c>
      <c r="H137" s="41"/>
      <c r="I137" s="53">
        <v>0</v>
      </c>
    </row>
    <row r="138" spans="1:11" ht="12.75" hidden="1" customHeight="1">
      <c r="A138" s="242" t="s">
        <v>137</v>
      </c>
      <c r="B138" s="277"/>
      <c r="C138" s="278" t="s">
        <v>136</v>
      </c>
      <c r="D138" s="279"/>
      <c r="E138" s="280"/>
      <c r="F138" s="281"/>
      <c r="G138" s="42" t="s">
        <v>136</v>
      </c>
      <c r="H138" s="43"/>
      <c r="I138" s="54">
        <v>0</v>
      </c>
    </row>
    <row r="139" spans="1:11" ht="12.75" hidden="1" customHeight="1">
      <c r="A139" s="242" t="s">
        <v>138</v>
      </c>
      <c r="B139" s="277"/>
      <c r="C139" s="278" t="s">
        <v>136</v>
      </c>
      <c r="D139" s="279"/>
      <c r="E139" s="280"/>
      <c r="F139" s="281"/>
      <c r="G139" s="42" t="s">
        <v>136</v>
      </c>
      <c r="H139" s="43"/>
      <c r="I139" s="54">
        <v>0</v>
      </c>
    </row>
    <row r="140" spans="1:11" ht="12.75" hidden="1" customHeight="1">
      <c r="A140" s="242" t="s">
        <v>139</v>
      </c>
      <c r="B140" s="277"/>
      <c r="C140" s="278" t="s">
        <v>136</v>
      </c>
      <c r="D140" s="279"/>
      <c r="E140" s="280"/>
      <c r="F140" s="281"/>
      <c r="G140" s="42" t="s">
        <v>136</v>
      </c>
      <c r="H140" s="43"/>
      <c r="I140" s="54">
        <v>0</v>
      </c>
    </row>
    <row r="141" spans="1:11" ht="12.75" hidden="1" customHeight="1">
      <c r="A141" s="282"/>
      <c r="B141" s="258"/>
      <c r="C141" s="280"/>
      <c r="D141" s="281"/>
      <c r="E141" s="280"/>
      <c r="F141" s="281"/>
      <c r="G141" s="44"/>
      <c r="H141" s="45"/>
      <c r="I141" s="54"/>
    </row>
    <row r="142" spans="1:11" ht="12.75" hidden="1" customHeight="1">
      <c r="A142" s="289"/>
      <c r="B142" s="290"/>
      <c r="C142" s="291"/>
      <c r="D142" s="292"/>
      <c r="E142" s="291"/>
      <c r="F142" s="292"/>
      <c r="G142" s="46"/>
      <c r="H142" s="47"/>
      <c r="I142" s="55"/>
    </row>
    <row r="143" spans="1:11" ht="12.75" hidden="1" customHeight="1">
      <c r="A143" s="293" t="s">
        <v>140</v>
      </c>
      <c r="B143" s="294"/>
      <c r="C143" s="294"/>
      <c r="D143" s="294"/>
      <c r="E143" s="294"/>
      <c r="F143" s="294"/>
      <c r="G143" s="294"/>
      <c r="H143" s="295"/>
      <c r="I143" s="56">
        <f>SUM(I141:I142)</f>
        <v>0</v>
      </c>
    </row>
    <row r="144" spans="1:11" ht="12.75" hidden="1" customHeight="1"/>
    <row r="145" spans="1:9" ht="12.75" hidden="1" customHeight="1">
      <c r="A145" s="4" t="s">
        <v>141</v>
      </c>
      <c r="B145" s="237" t="s">
        <v>142</v>
      </c>
      <c r="C145" s="237"/>
      <c r="D145" s="237"/>
      <c r="E145" s="237"/>
      <c r="F145" s="237"/>
      <c r="G145" s="237"/>
      <c r="H145" s="8"/>
      <c r="I145" s="8"/>
    </row>
    <row r="146" spans="1:9" ht="12.75" hidden="1" customHeight="1">
      <c r="A146" s="296" t="s">
        <v>143</v>
      </c>
      <c r="B146" s="297"/>
      <c r="C146" s="297"/>
      <c r="D146" s="297"/>
      <c r="E146" s="297"/>
      <c r="F146" s="297"/>
      <c r="G146" s="297"/>
      <c r="H146" s="297"/>
      <c r="I146" s="298"/>
    </row>
    <row r="147" spans="1:9" ht="12.75" hidden="1" customHeight="1">
      <c r="A147" s="48"/>
      <c r="B147" s="299" t="s">
        <v>144</v>
      </c>
      <c r="C147" s="300"/>
      <c r="D147" s="300"/>
      <c r="E147" s="300"/>
      <c r="F147" s="300"/>
      <c r="G147" s="300"/>
      <c r="H147" s="301"/>
      <c r="I147" s="52" t="s">
        <v>28</v>
      </c>
    </row>
    <row r="148" spans="1:9" ht="12.75" hidden="1" customHeight="1">
      <c r="A148" s="39" t="s">
        <v>2</v>
      </c>
      <c r="B148" s="302" t="s">
        <v>145</v>
      </c>
      <c r="C148" s="303"/>
      <c r="D148" s="303"/>
      <c r="E148" s="303"/>
      <c r="F148" s="303"/>
      <c r="G148" s="303"/>
      <c r="H148" s="304"/>
      <c r="I148" s="57">
        <f>I110</f>
        <v>98.58</v>
      </c>
    </row>
    <row r="149" spans="1:9" ht="12.75" hidden="1" customHeight="1">
      <c r="A149" s="49" t="s">
        <v>4</v>
      </c>
      <c r="B149" s="251" t="s">
        <v>146</v>
      </c>
      <c r="C149" s="252"/>
      <c r="D149" s="252"/>
      <c r="E149" s="252"/>
      <c r="F149" s="252"/>
      <c r="G149" s="252"/>
      <c r="H149" s="253"/>
      <c r="I149" s="58" t="e">
        <f>#REF!</f>
        <v>#REF!</v>
      </c>
    </row>
    <row r="150" spans="1:9" ht="12.75" hidden="1" customHeight="1">
      <c r="A150" s="49" t="s">
        <v>7</v>
      </c>
      <c r="B150" s="283" t="s">
        <v>147</v>
      </c>
      <c r="C150" s="284"/>
      <c r="D150" s="284"/>
      <c r="E150" s="284"/>
      <c r="F150" s="284"/>
      <c r="G150" s="284"/>
      <c r="H150" s="285"/>
      <c r="I150" s="58">
        <f>I113</f>
        <v>1316.89</v>
      </c>
    </row>
    <row r="151" spans="1:9" ht="12.75" hidden="1" customHeight="1">
      <c r="A151" s="286" t="s">
        <v>148</v>
      </c>
      <c r="B151" s="287"/>
      <c r="C151" s="287"/>
      <c r="D151" s="287"/>
      <c r="E151" s="287"/>
      <c r="F151" s="287"/>
      <c r="G151" s="287"/>
      <c r="H151" s="288"/>
      <c r="I151" s="56" t="e">
        <f>SUM(I148:I150)</f>
        <v>#REF!</v>
      </c>
    </row>
    <row r="152" spans="1:9" ht="12.75" hidden="1" customHeight="1">
      <c r="A152" s="4" t="s">
        <v>149</v>
      </c>
      <c r="B152" t="s">
        <v>150</v>
      </c>
    </row>
    <row r="153" spans="1:9" ht="12.75" hidden="1" customHeight="1"/>
    <row r="154" spans="1:9" ht="12.75" hidden="1" customHeight="1"/>
    <row r="155" spans="1:9" ht="13.6">
      <c r="A155" s="17"/>
      <c r="B155" s="17"/>
    </row>
    <row r="156" spans="1:9" ht="13.6">
      <c r="A156" s="36"/>
      <c r="B156" s="17"/>
      <c r="E156" s="50"/>
    </row>
    <row r="157" spans="1:9" ht="13.6">
      <c r="A157" s="17"/>
      <c r="B157" s="17"/>
      <c r="C157" s="36"/>
    </row>
    <row r="158" spans="1:9" ht="13.6">
      <c r="A158" s="17"/>
      <c r="B158" s="17"/>
      <c r="C158" s="36"/>
      <c r="E158" s="51"/>
    </row>
    <row r="159" spans="1:9">
      <c r="A159" s="50"/>
      <c r="E159" s="50"/>
    </row>
    <row r="160" spans="1:9">
      <c r="A160" s="50"/>
    </row>
  </sheetData>
  <sheetProtection algorithmName="SHA-512" hashValue="3KFNhqLc7I97LQ+vKDaWgzdQRTzxU49+Z+WpkW9QwykVUnmbiFe6rGbeL8J+aayEj2O8oWmYymMcupI916YPjA==" saltValue="Ae2c4uToSNz1s7rI98jAAg==" spinCount="100000" sheet="1" objects="1" scenarios="1"/>
  <mergeCells count="168">
    <mergeCell ref="B150:H150"/>
    <mergeCell ref="A151:H151"/>
    <mergeCell ref="A142:B142"/>
    <mergeCell ref="C142:D142"/>
    <mergeCell ref="E142:F142"/>
    <mergeCell ref="A143:H143"/>
    <mergeCell ref="B145:G145"/>
    <mergeCell ref="A146:I146"/>
    <mergeCell ref="B147:H147"/>
    <mergeCell ref="B148:H148"/>
    <mergeCell ref="B149:H149"/>
    <mergeCell ref="A139:B139"/>
    <mergeCell ref="C139:D139"/>
    <mergeCell ref="E139:F139"/>
    <mergeCell ref="A140:B140"/>
    <mergeCell ref="C140:D140"/>
    <mergeCell ref="E140:F140"/>
    <mergeCell ref="A141:B141"/>
    <mergeCell ref="C141:D141"/>
    <mergeCell ref="E141:F141"/>
    <mergeCell ref="A133:H133"/>
    <mergeCell ref="B135:G135"/>
    <mergeCell ref="A136:B136"/>
    <mergeCell ref="C136:D136"/>
    <mergeCell ref="E136:F136"/>
    <mergeCell ref="A137:B137"/>
    <mergeCell ref="C137:D137"/>
    <mergeCell ref="E137:F137"/>
    <mergeCell ref="A138:B138"/>
    <mergeCell ref="C138:D138"/>
    <mergeCell ref="E138:F138"/>
    <mergeCell ref="A124:I124"/>
    <mergeCell ref="A125:H125"/>
    <mergeCell ref="B126:H126"/>
    <mergeCell ref="B127:H127"/>
    <mergeCell ref="B128:H128"/>
    <mergeCell ref="B129:H129"/>
    <mergeCell ref="B130:H130"/>
    <mergeCell ref="B131:H131"/>
    <mergeCell ref="B132:H132"/>
    <mergeCell ref="B111:G111"/>
    <mergeCell ref="B112:G112"/>
    <mergeCell ref="A113:G113"/>
    <mergeCell ref="B114:I114"/>
    <mergeCell ref="B115:G115"/>
    <mergeCell ref="B116:G116"/>
    <mergeCell ref="B118:G118"/>
    <mergeCell ref="B120:G120"/>
    <mergeCell ref="B122:G122"/>
    <mergeCell ref="B102:G102"/>
    <mergeCell ref="A103:G103"/>
    <mergeCell ref="A104:I104"/>
    <mergeCell ref="A105:I105"/>
    <mergeCell ref="B106:G106"/>
    <mergeCell ref="B107:G107"/>
    <mergeCell ref="B108:G108"/>
    <mergeCell ref="B109:G109"/>
    <mergeCell ref="B110:G110"/>
    <mergeCell ref="A95:H95"/>
    <mergeCell ref="A97:I97"/>
    <mergeCell ref="B98:G98"/>
    <mergeCell ref="B99:G99"/>
    <mergeCell ref="B100:G100"/>
    <mergeCell ref="B101:G101"/>
    <mergeCell ref="B91:G91"/>
    <mergeCell ref="B92:G92"/>
    <mergeCell ref="B93:G93"/>
    <mergeCell ref="B94:G94"/>
    <mergeCell ref="B82:G82"/>
    <mergeCell ref="A83:G83"/>
    <mergeCell ref="A84:I84"/>
    <mergeCell ref="A85:G85"/>
    <mergeCell ref="B86:G86"/>
    <mergeCell ref="A87:G87"/>
    <mergeCell ref="A88:I88"/>
    <mergeCell ref="A89:I89"/>
    <mergeCell ref="A90:G90"/>
    <mergeCell ref="A73:G73"/>
    <mergeCell ref="A74:I74"/>
    <mergeCell ref="A75:I75"/>
    <mergeCell ref="A76:G76"/>
    <mergeCell ref="B77:G77"/>
    <mergeCell ref="B78:G78"/>
    <mergeCell ref="B79:G79"/>
    <mergeCell ref="B80:G80"/>
    <mergeCell ref="B81:G81"/>
    <mergeCell ref="A64:I64"/>
    <mergeCell ref="A65:I65"/>
    <mergeCell ref="B66:G66"/>
    <mergeCell ref="B67:G67"/>
    <mergeCell ref="B68:G68"/>
    <mergeCell ref="B69:G69"/>
    <mergeCell ref="B70:G70"/>
    <mergeCell ref="B71:G71"/>
    <mergeCell ref="B72:G72"/>
    <mergeCell ref="B55:G55"/>
    <mergeCell ref="A56:H56"/>
    <mergeCell ref="A57:I57"/>
    <mergeCell ref="A58:I58"/>
    <mergeCell ref="A59:H59"/>
    <mergeCell ref="B60:H60"/>
    <mergeCell ref="B61:H61"/>
    <mergeCell ref="B62:H62"/>
    <mergeCell ref="A63:H63"/>
    <mergeCell ref="A37:G37"/>
    <mergeCell ref="A47:G47"/>
    <mergeCell ref="A48:I48"/>
    <mergeCell ref="A49:G49"/>
    <mergeCell ref="B50:G50"/>
    <mergeCell ref="B51:G51"/>
    <mergeCell ref="B52:G52"/>
    <mergeCell ref="B53:G53"/>
    <mergeCell ref="B54:G54"/>
    <mergeCell ref="A38:G38"/>
    <mergeCell ref="B39:G39"/>
    <mergeCell ref="B40:G40"/>
    <mergeCell ref="B41:G41"/>
    <mergeCell ref="B42:G42"/>
    <mergeCell ref="B43:G43"/>
    <mergeCell ref="B44:G44"/>
    <mergeCell ref="B45:G45"/>
    <mergeCell ref="B46:G46"/>
    <mergeCell ref="B27:G27"/>
    <mergeCell ref="B28:G28"/>
    <mergeCell ref="A29:H29"/>
    <mergeCell ref="A31:I31"/>
    <mergeCell ref="A32:G32"/>
    <mergeCell ref="B33:G33"/>
    <mergeCell ref="B34:G34"/>
    <mergeCell ref="A36:G36"/>
    <mergeCell ref="B35:G35"/>
    <mergeCell ref="B19:G19"/>
    <mergeCell ref="H19:I19"/>
    <mergeCell ref="A20:I20"/>
    <mergeCell ref="A21:I21"/>
    <mergeCell ref="B22:G22"/>
    <mergeCell ref="B23:G23"/>
    <mergeCell ref="B24:G24"/>
    <mergeCell ref="B25:G25"/>
    <mergeCell ref="B26:G26"/>
    <mergeCell ref="A14:I14"/>
    <mergeCell ref="B15:G15"/>
    <mergeCell ref="H15:I15"/>
    <mergeCell ref="B16:G16"/>
    <mergeCell ref="H16:I16"/>
    <mergeCell ref="B17:G17"/>
    <mergeCell ref="H17:I17"/>
    <mergeCell ref="B18:G18"/>
    <mergeCell ref="H18:I18"/>
    <mergeCell ref="B8:G8"/>
    <mergeCell ref="H8:I8"/>
    <mergeCell ref="A10:I10"/>
    <mergeCell ref="A11:B11"/>
    <mergeCell ref="C11:D11"/>
    <mergeCell ref="E11:I11"/>
    <mergeCell ref="A12:B12"/>
    <mergeCell ref="C12:D12"/>
    <mergeCell ref="E12:I12"/>
    <mergeCell ref="A1:I1"/>
    <mergeCell ref="A2:I2"/>
    <mergeCell ref="A4:I4"/>
    <mergeCell ref="B5:G5"/>
    <mergeCell ref="H5:I5"/>
    <mergeCell ref="B6:G6"/>
    <mergeCell ref="H6:I6"/>
    <mergeCell ref="B7:G7"/>
    <mergeCell ref="H7:I7"/>
    <mergeCell ref="A3:F3"/>
  </mergeCells>
  <pageMargins left="1.0236220472440944" right="0.23622047244094491" top="0.74803149606299213" bottom="0.74803149606299213" header="0.31496062992125984" footer="0.31496062992125984"/>
  <pageSetup paperSize="9" scale="58" firstPageNumber="0" fitToHeight="0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60"/>
  <sheetViews>
    <sheetView topLeftCell="A79" zoomScale="115" zoomScaleNormal="115" workbookViewId="0">
      <selection activeCell="M15" sqref="M15"/>
    </sheetView>
  </sheetViews>
  <sheetFormatPr defaultColWidth="9" defaultRowHeight="12.9"/>
  <cols>
    <col min="1" max="1" width="10" customWidth="1"/>
    <col min="3" max="3" width="15.625" customWidth="1"/>
    <col min="5" max="5" width="15" customWidth="1"/>
    <col min="7" max="7" width="26.75" customWidth="1"/>
    <col min="8" max="8" width="9.125" customWidth="1"/>
    <col min="9" max="9" width="12" customWidth="1"/>
    <col min="10" max="10" width="14.25" customWidth="1"/>
    <col min="11" max="11" width="14.75" customWidth="1"/>
    <col min="12" max="12" width="11.125" customWidth="1"/>
    <col min="13" max="13" width="9.625" customWidth="1"/>
  </cols>
  <sheetData>
    <row r="1" spans="1:9" ht="22.6" customHeight="1">
      <c r="A1" s="237"/>
      <c r="B1" s="237"/>
      <c r="C1" s="237"/>
      <c r="D1" s="237"/>
      <c r="E1" s="237"/>
      <c r="F1" s="237"/>
      <c r="G1" s="237"/>
      <c r="H1" s="237"/>
      <c r="I1" s="237"/>
    </row>
    <row r="2" spans="1:9" ht="36.700000000000003" customHeight="1">
      <c r="A2" s="310" t="s">
        <v>288</v>
      </c>
      <c r="B2" s="310"/>
      <c r="C2" s="310"/>
      <c r="D2" s="310"/>
      <c r="E2" s="310"/>
      <c r="F2" s="310"/>
      <c r="G2" s="310"/>
      <c r="H2" s="310"/>
      <c r="I2" s="310"/>
    </row>
    <row r="3" spans="1:9" s="186" customFormat="1" ht="95.95" customHeight="1">
      <c r="A3" s="313" t="s">
        <v>259</v>
      </c>
      <c r="B3" s="314"/>
      <c r="C3" s="314"/>
      <c r="D3" s="314"/>
      <c r="E3" s="314"/>
      <c r="F3" s="314"/>
      <c r="G3" s="139"/>
      <c r="H3" s="139"/>
      <c r="I3" s="139"/>
    </row>
    <row r="4" spans="1:9" ht="22.6" customHeight="1">
      <c r="A4" s="329" t="s">
        <v>1</v>
      </c>
      <c r="B4" s="329"/>
      <c r="C4" s="329"/>
      <c r="D4" s="329"/>
      <c r="E4" s="329"/>
      <c r="F4" s="329"/>
      <c r="G4" s="329"/>
      <c r="H4" s="329"/>
      <c r="I4" s="329"/>
    </row>
    <row r="5" spans="1:9" ht="22.6" customHeight="1">
      <c r="A5" s="2" t="s">
        <v>2</v>
      </c>
      <c r="B5" s="240" t="s">
        <v>3</v>
      </c>
      <c r="C5" s="240"/>
      <c r="D5" s="240"/>
      <c r="E5" s="240"/>
      <c r="F5" s="240"/>
      <c r="G5" s="240"/>
      <c r="H5" s="311" t="s">
        <v>254</v>
      </c>
      <c r="I5" s="312"/>
    </row>
    <row r="6" spans="1:9">
      <c r="A6" s="2" t="s">
        <v>4</v>
      </c>
      <c r="B6" s="240" t="s">
        <v>5</v>
      </c>
      <c r="C6" s="240"/>
      <c r="D6" s="240"/>
      <c r="E6" s="240"/>
      <c r="F6" s="240"/>
      <c r="G6" s="240"/>
      <c r="H6" s="305" t="s">
        <v>157</v>
      </c>
      <c r="I6" s="242"/>
    </row>
    <row r="7" spans="1:9">
      <c r="A7" s="2" t="s">
        <v>7</v>
      </c>
      <c r="B7" s="240" t="s">
        <v>8</v>
      </c>
      <c r="C7" s="240"/>
      <c r="D7" s="240"/>
      <c r="E7" s="240"/>
      <c r="F7" s="240"/>
      <c r="G7" s="240"/>
      <c r="H7" s="305" t="s">
        <v>255</v>
      </c>
      <c r="I7" s="242"/>
    </row>
    <row r="8" spans="1:9">
      <c r="A8" s="2" t="s">
        <v>9</v>
      </c>
      <c r="B8" s="240" t="s">
        <v>10</v>
      </c>
      <c r="C8" s="240"/>
      <c r="D8" s="240"/>
      <c r="E8" s="240"/>
      <c r="F8" s="240"/>
      <c r="G8" s="240"/>
      <c r="H8" s="242">
        <v>24</v>
      </c>
      <c r="I8" s="242"/>
    </row>
    <row r="9" spans="1:9">
      <c r="A9" s="4"/>
      <c r="B9" s="5"/>
      <c r="C9" s="5"/>
      <c r="D9" s="5"/>
      <c r="E9" s="5"/>
      <c r="F9" s="5"/>
      <c r="G9" s="5"/>
      <c r="H9" s="4"/>
      <c r="I9" s="4"/>
    </row>
    <row r="10" spans="1:9" ht="13.6">
      <c r="A10" s="329" t="s">
        <v>11</v>
      </c>
      <c r="B10" s="329"/>
      <c r="C10" s="329"/>
      <c r="D10" s="329"/>
      <c r="E10" s="329"/>
      <c r="F10" s="329"/>
      <c r="G10" s="329"/>
      <c r="H10" s="329"/>
      <c r="I10" s="329"/>
    </row>
    <row r="11" spans="1:9">
      <c r="A11" s="242" t="s">
        <v>12</v>
      </c>
      <c r="B11" s="242"/>
      <c r="C11" s="242" t="s">
        <v>13</v>
      </c>
      <c r="D11" s="242"/>
      <c r="E11" s="242" t="s">
        <v>14</v>
      </c>
      <c r="F11" s="242"/>
      <c r="G11" s="242"/>
      <c r="H11" s="242"/>
      <c r="I11" s="242"/>
    </row>
    <row r="12" spans="1:9">
      <c r="A12" s="242" t="s">
        <v>15</v>
      </c>
      <c r="B12" s="242"/>
      <c r="C12" s="242" t="s">
        <v>16</v>
      </c>
      <c r="D12" s="242"/>
      <c r="E12" s="242">
        <v>4633.7</v>
      </c>
      <c r="F12" s="242"/>
      <c r="G12" s="242"/>
      <c r="H12" s="242"/>
      <c r="I12" s="242"/>
    </row>
    <row r="13" spans="1:9">
      <c r="A13" s="4"/>
      <c r="B13" s="5"/>
      <c r="C13" s="5"/>
      <c r="D13" s="5"/>
      <c r="E13" s="5"/>
      <c r="F13" s="5"/>
      <c r="G13" s="5"/>
      <c r="H13" s="4"/>
      <c r="I13" s="4"/>
    </row>
    <row r="14" spans="1:9" ht="13.6">
      <c r="A14" s="329" t="s">
        <v>17</v>
      </c>
      <c r="B14" s="329"/>
      <c r="C14" s="329"/>
      <c r="D14" s="329"/>
      <c r="E14" s="329"/>
      <c r="F14" s="329"/>
      <c r="G14" s="329"/>
      <c r="H14" s="329"/>
      <c r="I14" s="329"/>
    </row>
    <row r="15" spans="1:9">
      <c r="A15" s="2">
        <v>1</v>
      </c>
      <c r="B15" s="240" t="s">
        <v>18</v>
      </c>
      <c r="C15" s="240"/>
      <c r="D15" s="240"/>
      <c r="E15" s="240"/>
      <c r="F15" s="240"/>
      <c r="G15" s="240"/>
      <c r="H15" s="242" t="s">
        <v>15</v>
      </c>
      <c r="I15" s="242"/>
    </row>
    <row r="16" spans="1:9">
      <c r="A16" s="2">
        <v>2</v>
      </c>
      <c r="B16" s="240" t="s">
        <v>19</v>
      </c>
      <c r="C16" s="240"/>
      <c r="D16" s="240"/>
      <c r="E16" s="240"/>
      <c r="F16" s="240"/>
      <c r="G16" s="240"/>
      <c r="H16" s="242" t="s">
        <v>20</v>
      </c>
      <c r="I16" s="242"/>
    </row>
    <row r="17" spans="1:9">
      <c r="A17" s="2">
        <v>3</v>
      </c>
      <c r="B17" s="240" t="s">
        <v>21</v>
      </c>
      <c r="C17" s="240"/>
      <c r="D17" s="240"/>
      <c r="E17" s="240"/>
      <c r="F17" s="240"/>
      <c r="G17" s="240"/>
      <c r="H17" s="243">
        <v>1730.75</v>
      </c>
      <c r="I17" s="242"/>
    </row>
    <row r="18" spans="1:9" ht="29.25" customHeight="1">
      <c r="A18" s="2">
        <v>4</v>
      </c>
      <c r="B18" s="316" t="s">
        <v>22</v>
      </c>
      <c r="C18" s="317"/>
      <c r="D18" s="317"/>
      <c r="E18" s="317"/>
      <c r="F18" s="317"/>
      <c r="G18" s="318"/>
      <c r="H18" s="319" t="s">
        <v>221</v>
      </c>
      <c r="I18" s="320"/>
    </row>
    <row r="19" spans="1:9">
      <c r="A19" s="2">
        <v>5</v>
      </c>
      <c r="B19" s="240" t="s">
        <v>24</v>
      </c>
      <c r="C19" s="240"/>
      <c r="D19" s="240"/>
      <c r="E19" s="240"/>
      <c r="F19" s="240"/>
      <c r="G19" s="240"/>
      <c r="H19" s="321">
        <v>45717</v>
      </c>
      <c r="I19" s="322"/>
    </row>
    <row r="20" spans="1:9">
      <c r="A20" s="237"/>
      <c r="B20" s="237"/>
      <c r="C20" s="237"/>
      <c r="D20" s="237"/>
      <c r="E20" s="237"/>
      <c r="F20" s="237"/>
      <c r="G20" s="237"/>
      <c r="H20" s="237"/>
      <c r="I20" s="237"/>
    </row>
    <row r="21" spans="1:9" ht="13.6">
      <c r="A21" s="330" t="s">
        <v>25</v>
      </c>
      <c r="B21" s="330"/>
      <c r="C21" s="330"/>
      <c r="D21" s="330"/>
      <c r="E21" s="330"/>
      <c r="F21" s="330"/>
      <c r="G21" s="330"/>
      <c r="H21" s="330"/>
      <c r="I21" s="330"/>
    </row>
    <row r="22" spans="1:9" ht="13.6">
      <c r="A22" s="1">
        <v>1</v>
      </c>
      <c r="B22" s="245" t="s">
        <v>26</v>
      </c>
      <c r="C22" s="245"/>
      <c r="D22" s="245"/>
      <c r="E22" s="245"/>
      <c r="F22" s="245"/>
      <c r="G22" s="245"/>
      <c r="H22" s="1" t="s">
        <v>27</v>
      </c>
      <c r="I22" s="1" t="s">
        <v>28</v>
      </c>
    </row>
    <row r="23" spans="1:9" ht="13.6">
      <c r="A23" s="1" t="s">
        <v>2</v>
      </c>
      <c r="B23" s="240" t="s">
        <v>249</v>
      </c>
      <c r="C23" s="240"/>
      <c r="D23" s="240"/>
      <c r="E23" s="240"/>
      <c r="F23" s="240"/>
      <c r="G23" s="240"/>
      <c r="H23" s="3"/>
      <c r="I23" s="14">
        <f>H17</f>
        <v>1730.75</v>
      </c>
    </row>
    <row r="24" spans="1:9" ht="13.6">
      <c r="A24" s="1" t="s">
        <v>4</v>
      </c>
      <c r="B24" s="240" t="s">
        <v>238</v>
      </c>
      <c r="C24" s="240"/>
      <c r="D24" s="240"/>
      <c r="E24" s="240"/>
      <c r="F24" s="240"/>
      <c r="G24" s="240"/>
      <c r="H24" s="7"/>
      <c r="I24" s="14">
        <v>0</v>
      </c>
    </row>
    <row r="25" spans="1:9" ht="13.6">
      <c r="A25" s="1" t="s">
        <v>7</v>
      </c>
      <c r="B25" s="315" t="s">
        <v>258</v>
      </c>
      <c r="C25" s="240"/>
      <c r="D25" s="240"/>
      <c r="E25" s="240"/>
      <c r="F25" s="240"/>
      <c r="G25" s="240"/>
      <c r="H25" s="7"/>
      <c r="I25" s="14">
        <f>H25*I23</f>
        <v>0</v>
      </c>
    </row>
    <row r="26" spans="1:9" ht="13.6">
      <c r="A26" s="1" t="s">
        <v>9</v>
      </c>
      <c r="B26" s="315" t="s">
        <v>257</v>
      </c>
      <c r="C26" s="240"/>
      <c r="D26" s="240"/>
      <c r="E26" s="240"/>
      <c r="F26" s="240"/>
      <c r="G26" s="240"/>
      <c r="H26" s="7"/>
      <c r="I26" s="14">
        <v>0</v>
      </c>
    </row>
    <row r="27" spans="1:9" ht="13.6">
      <c r="A27" s="1" t="s">
        <v>33</v>
      </c>
      <c r="B27" s="240" t="s">
        <v>34</v>
      </c>
      <c r="C27" s="240"/>
      <c r="D27" s="240"/>
      <c r="E27" s="240"/>
      <c r="F27" s="240"/>
      <c r="G27" s="240"/>
      <c r="H27" s="7"/>
      <c r="I27" s="14">
        <v>0</v>
      </c>
    </row>
    <row r="28" spans="1:9" ht="13.6">
      <c r="A28" s="1" t="s">
        <v>35</v>
      </c>
      <c r="B28" s="315" t="s">
        <v>256</v>
      </c>
      <c r="C28" s="240"/>
      <c r="D28" s="240"/>
      <c r="E28" s="240"/>
      <c r="F28" s="240"/>
      <c r="G28" s="240"/>
      <c r="H28" s="7"/>
      <c r="I28" s="14">
        <f>I23*H28</f>
        <v>0</v>
      </c>
    </row>
    <row r="29" spans="1:9" ht="13.6">
      <c r="A29" s="245" t="s">
        <v>37</v>
      </c>
      <c r="B29" s="245"/>
      <c r="C29" s="245"/>
      <c r="D29" s="245"/>
      <c r="E29" s="245"/>
      <c r="F29" s="245"/>
      <c r="G29" s="245"/>
      <c r="H29" s="245"/>
      <c r="I29" s="15">
        <f>TRUNC(SUM(I23:I28),2)</f>
        <v>1730.75</v>
      </c>
    </row>
    <row r="30" spans="1:9" ht="13.6">
      <c r="A30" s="8"/>
      <c r="B30" s="8"/>
      <c r="C30" s="8"/>
      <c r="D30" s="8"/>
      <c r="E30" s="8"/>
      <c r="F30" s="8"/>
      <c r="G30" s="8"/>
      <c r="H30" s="8"/>
      <c r="I30" s="16"/>
    </row>
    <row r="31" spans="1:9" ht="13.6">
      <c r="A31" s="329" t="s">
        <v>38</v>
      </c>
      <c r="B31" s="329"/>
      <c r="C31" s="329"/>
      <c r="D31" s="329"/>
      <c r="E31" s="329"/>
      <c r="F31" s="329"/>
      <c r="G31" s="329"/>
      <c r="H31" s="329"/>
      <c r="I31" s="329"/>
    </row>
    <row r="32" spans="1:9" ht="13.6">
      <c r="A32" s="245" t="s">
        <v>39</v>
      </c>
      <c r="B32" s="245"/>
      <c r="C32" s="245"/>
      <c r="D32" s="245"/>
      <c r="E32" s="245"/>
      <c r="F32" s="245"/>
      <c r="G32" s="245"/>
      <c r="H32" s="1" t="s">
        <v>27</v>
      </c>
      <c r="I32" s="1" t="s">
        <v>28</v>
      </c>
    </row>
    <row r="33" spans="1:13" ht="13.6">
      <c r="A33" s="1" t="s">
        <v>2</v>
      </c>
      <c r="B33" s="315" t="s">
        <v>260</v>
      </c>
      <c r="C33" s="240"/>
      <c r="D33" s="240"/>
      <c r="E33" s="240"/>
      <c r="F33" s="240"/>
      <c r="G33" s="240"/>
      <c r="H33" s="9">
        <v>8.3299999999999999E-2</v>
      </c>
      <c r="I33" s="14">
        <f>$I$29*H33</f>
        <v>144.17147499999999</v>
      </c>
    </row>
    <row r="34" spans="1:13" ht="13.6">
      <c r="A34" s="1" t="s">
        <v>4</v>
      </c>
      <c r="B34" s="315" t="s">
        <v>41</v>
      </c>
      <c r="C34" s="240"/>
      <c r="D34" s="240"/>
      <c r="E34" s="240"/>
      <c r="F34" s="240"/>
      <c r="G34" s="240"/>
      <c r="H34" s="9">
        <v>8.3299999999999999E-2</v>
      </c>
      <c r="I34" s="14">
        <f>(I29*H34)</f>
        <v>144.17147499999999</v>
      </c>
      <c r="K34" s="211"/>
      <c r="L34" s="211"/>
      <c r="M34" s="211"/>
    </row>
    <row r="35" spans="1:13" ht="13.6">
      <c r="A35" s="1" t="s">
        <v>7</v>
      </c>
      <c r="B35" s="240" t="s">
        <v>272</v>
      </c>
      <c r="C35" s="240"/>
      <c r="D35" s="240"/>
      <c r="E35" s="240"/>
      <c r="F35" s="240"/>
      <c r="G35" s="240"/>
      <c r="H35" s="9">
        <v>2.7799999999999998E-2</v>
      </c>
      <c r="I35" s="14">
        <f>(H35*I29)</f>
        <v>48.114849999999997</v>
      </c>
      <c r="K35" s="211"/>
      <c r="L35" s="211"/>
      <c r="M35" s="211"/>
    </row>
    <row r="36" spans="1:13" ht="13.6">
      <c r="A36" s="245" t="s">
        <v>42</v>
      </c>
      <c r="B36" s="245"/>
      <c r="C36" s="245"/>
      <c r="D36" s="245"/>
      <c r="E36" s="245"/>
      <c r="F36" s="245"/>
      <c r="G36" s="245"/>
      <c r="H36" s="11">
        <f>TRUNC(SUM(H33:H35),4)</f>
        <v>0.19439999999999999</v>
      </c>
      <c r="I36" s="15">
        <f>TRUNC(SUM(I33:I35),2)</f>
        <v>336.45</v>
      </c>
      <c r="L36" s="220"/>
    </row>
    <row r="37" spans="1:13" ht="13.6">
      <c r="A37" s="324" t="s">
        <v>282</v>
      </c>
      <c r="B37" s="325"/>
      <c r="C37" s="325"/>
      <c r="D37" s="325"/>
      <c r="E37" s="325"/>
      <c r="F37" s="325"/>
      <c r="G37" s="325"/>
      <c r="H37" s="336"/>
      <c r="I37" s="223">
        <f>SUM(I29,I36)</f>
        <v>2067.1999999999998</v>
      </c>
      <c r="J37" s="17"/>
      <c r="K37" s="16"/>
    </row>
    <row r="38" spans="1:13" ht="13.6">
      <c r="A38" s="245" t="s">
        <v>44</v>
      </c>
      <c r="B38" s="245"/>
      <c r="C38" s="245"/>
      <c r="D38" s="245"/>
      <c r="E38" s="245"/>
      <c r="F38" s="245"/>
      <c r="G38" s="245"/>
      <c r="H38" s="1" t="s">
        <v>27</v>
      </c>
      <c r="I38" s="1" t="s">
        <v>28</v>
      </c>
    </row>
    <row r="39" spans="1:13" ht="13.6">
      <c r="A39" s="1" t="s">
        <v>2</v>
      </c>
      <c r="B39" s="315" t="s">
        <v>232</v>
      </c>
      <c r="C39" s="240"/>
      <c r="D39" s="240"/>
      <c r="E39" s="240"/>
      <c r="F39" s="240"/>
      <c r="G39" s="240"/>
      <c r="H39" s="9">
        <v>0.2</v>
      </c>
      <c r="I39" s="14">
        <f>H39*$I$37</f>
        <v>413.44</v>
      </c>
    </row>
    <row r="40" spans="1:13" ht="13.6">
      <c r="A40" s="1" t="s">
        <v>4</v>
      </c>
      <c r="B40" s="315" t="s">
        <v>261</v>
      </c>
      <c r="C40" s="240"/>
      <c r="D40" s="240"/>
      <c r="E40" s="240"/>
      <c r="F40" s="240"/>
      <c r="G40" s="240"/>
      <c r="H40" s="9">
        <v>2.5000000000000001E-2</v>
      </c>
      <c r="I40" s="14">
        <f t="shared" ref="I40:I46" si="0">H40*$I$37</f>
        <v>51.68</v>
      </c>
    </row>
    <row r="41" spans="1:13" ht="13.6">
      <c r="A41" s="1" t="s">
        <v>7</v>
      </c>
      <c r="B41" s="315" t="s">
        <v>262</v>
      </c>
      <c r="C41" s="240"/>
      <c r="D41" s="240"/>
      <c r="E41" s="240"/>
      <c r="F41" s="240"/>
      <c r="G41" s="240"/>
      <c r="H41" s="9">
        <f>3%*2</f>
        <v>0.06</v>
      </c>
      <c r="I41" s="14">
        <f t="shared" si="0"/>
        <v>124.03199999999998</v>
      </c>
    </row>
    <row r="42" spans="1:13" ht="13.6">
      <c r="A42" s="1" t="s">
        <v>9</v>
      </c>
      <c r="B42" s="315" t="s">
        <v>263</v>
      </c>
      <c r="C42" s="240"/>
      <c r="D42" s="240"/>
      <c r="E42" s="240"/>
      <c r="F42" s="240"/>
      <c r="G42" s="240"/>
      <c r="H42" s="9">
        <v>1.4999999999999999E-2</v>
      </c>
      <c r="I42" s="14">
        <f t="shared" si="0"/>
        <v>31.007999999999996</v>
      </c>
    </row>
    <row r="43" spans="1:13" ht="13.6">
      <c r="A43" s="1" t="s">
        <v>33</v>
      </c>
      <c r="B43" s="315" t="s">
        <v>264</v>
      </c>
      <c r="C43" s="240"/>
      <c r="D43" s="240"/>
      <c r="E43" s="240"/>
      <c r="F43" s="240"/>
      <c r="G43" s="240"/>
      <c r="H43" s="9">
        <v>0.01</v>
      </c>
      <c r="I43" s="14">
        <f t="shared" si="0"/>
        <v>20.671999999999997</v>
      </c>
    </row>
    <row r="44" spans="1:13" ht="13.6">
      <c r="A44" s="1" t="s">
        <v>35</v>
      </c>
      <c r="B44" s="315" t="s">
        <v>268</v>
      </c>
      <c r="C44" s="240"/>
      <c r="D44" s="240"/>
      <c r="E44" s="240"/>
      <c r="F44" s="240"/>
      <c r="G44" s="240"/>
      <c r="H44" s="9">
        <v>6.0000000000000001E-3</v>
      </c>
      <c r="I44" s="14">
        <f t="shared" si="0"/>
        <v>12.4032</v>
      </c>
    </row>
    <row r="45" spans="1:13" ht="13.6">
      <c r="A45" s="1" t="s">
        <v>51</v>
      </c>
      <c r="B45" s="315" t="s">
        <v>265</v>
      </c>
      <c r="C45" s="240"/>
      <c r="D45" s="240"/>
      <c r="E45" s="240"/>
      <c r="F45" s="240"/>
      <c r="G45" s="240"/>
      <c r="H45" s="9">
        <v>2E-3</v>
      </c>
      <c r="I45" s="14">
        <f t="shared" si="0"/>
        <v>4.1343999999999994</v>
      </c>
    </row>
    <row r="46" spans="1:13" ht="13.6">
      <c r="A46" s="1" t="s">
        <v>53</v>
      </c>
      <c r="B46" s="315" t="s">
        <v>267</v>
      </c>
      <c r="C46" s="240"/>
      <c r="D46" s="240"/>
      <c r="E46" s="240"/>
      <c r="F46" s="240"/>
      <c r="G46" s="240"/>
      <c r="H46" s="9">
        <v>0.08</v>
      </c>
      <c r="I46" s="14">
        <f t="shared" si="0"/>
        <v>165.37599999999998</v>
      </c>
    </row>
    <row r="47" spans="1:13" ht="13.6">
      <c r="A47" s="245" t="s">
        <v>55</v>
      </c>
      <c r="B47" s="245"/>
      <c r="C47" s="245"/>
      <c r="D47" s="245"/>
      <c r="E47" s="245"/>
      <c r="F47" s="245"/>
      <c r="G47" s="245"/>
      <c r="H47" s="11">
        <f>SUM(H39:H46)</f>
        <v>0.39800000000000008</v>
      </c>
      <c r="I47" s="15">
        <f>TRUNC(SUM(I39:I46),2)</f>
        <v>822.74</v>
      </c>
      <c r="K47" s="31"/>
    </row>
    <row r="48" spans="1:13" ht="13.6">
      <c r="A48" s="245"/>
      <c r="B48" s="245"/>
      <c r="C48" s="245"/>
      <c r="D48" s="245"/>
      <c r="E48" s="245"/>
      <c r="F48" s="245"/>
      <c r="G48" s="245"/>
      <c r="H48" s="245"/>
      <c r="I48" s="258"/>
    </row>
    <row r="49" spans="1:11" ht="13.6">
      <c r="A49" s="245" t="s">
        <v>56</v>
      </c>
      <c r="B49" s="245"/>
      <c r="C49" s="245"/>
      <c r="D49" s="245"/>
      <c r="E49" s="245"/>
      <c r="F49" s="245"/>
      <c r="G49" s="245"/>
      <c r="H49" s="11"/>
      <c r="I49" s="1" t="s">
        <v>28</v>
      </c>
    </row>
    <row r="50" spans="1:11" ht="13.6">
      <c r="A50" s="1" t="s">
        <v>2</v>
      </c>
      <c r="B50" s="309" t="s">
        <v>274</v>
      </c>
      <c r="C50" s="250"/>
      <c r="D50" s="250"/>
      <c r="E50" s="250"/>
      <c r="F50" s="250"/>
      <c r="G50" s="250"/>
      <c r="H50" s="2" t="s">
        <v>58</v>
      </c>
      <c r="I50" s="18">
        <f>(5.5*2*22)-(I23*0.06)</f>
        <v>138.155</v>
      </c>
    </row>
    <row r="51" spans="1:11" ht="13.6">
      <c r="A51" s="1" t="s">
        <v>4</v>
      </c>
      <c r="B51" s="309" t="s">
        <v>281</v>
      </c>
      <c r="C51" s="250"/>
      <c r="D51" s="250"/>
      <c r="E51" s="250"/>
      <c r="F51" s="250"/>
      <c r="G51" s="250"/>
      <c r="H51" s="2" t="s">
        <v>58</v>
      </c>
      <c r="I51" s="18">
        <f>(25*22)-(550*0.1)</f>
        <v>495</v>
      </c>
    </row>
    <row r="52" spans="1:11" ht="13.6">
      <c r="A52" s="1" t="s">
        <v>7</v>
      </c>
      <c r="B52" s="250" t="s">
        <v>60</v>
      </c>
      <c r="C52" s="250"/>
      <c r="D52" s="250"/>
      <c r="E52" s="250"/>
      <c r="F52" s="250"/>
      <c r="G52" s="250"/>
      <c r="H52" s="2" t="s">
        <v>58</v>
      </c>
      <c r="I52" s="18">
        <v>0</v>
      </c>
    </row>
    <row r="53" spans="1:11" ht="13.6">
      <c r="A53" s="1" t="s">
        <v>9</v>
      </c>
      <c r="B53" s="326" t="s">
        <v>289</v>
      </c>
      <c r="C53" s="252"/>
      <c r="D53" s="252"/>
      <c r="E53" s="252"/>
      <c r="F53" s="252"/>
      <c r="G53" s="253"/>
      <c r="H53" s="2" t="s">
        <v>58</v>
      </c>
      <c r="I53" s="18">
        <v>21.6</v>
      </c>
    </row>
    <row r="54" spans="1:11" ht="13.6">
      <c r="A54" s="1" t="s">
        <v>33</v>
      </c>
      <c r="B54" s="326" t="s">
        <v>290</v>
      </c>
      <c r="C54" s="252"/>
      <c r="D54" s="252"/>
      <c r="E54" s="252"/>
      <c r="F54" s="252"/>
      <c r="G54" s="253"/>
      <c r="H54" s="2" t="s">
        <v>58</v>
      </c>
      <c r="I54" s="18">
        <f>45/12</f>
        <v>3.75</v>
      </c>
      <c r="J54" s="211"/>
      <c r="K54" t="s">
        <v>269</v>
      </c>
    </row>
    <row r="55" spans="1:11" ht="13.6">
      <c r="A55" s="1" t="s">
        <v>35</v>
      </c>
      <c r="B55" s="328" t="s">
        <v>234</v>
      </c>
      <c r="C55" s="328"/>
      <c r="D55" s="328"/>
      <c r="E55" s="328"/>
      <c r="F55" s="328"/>
      <c r="G55" s="328"/>
      <c r="H55" s="2" t="s">
        <v>58</v>
      </c>
      <c r="I55" s="18"/>
    </row>
    <row r="56" spans="1:11" ht="13.6">
      <c r="A56" s="245" t="s">
        <v>62</v>
      </c>
      <c r="B56" s="245"/>
      <c r="C56" s="245"/>
      <c r="D56" s="245"/>
      <c r="E56" s="245"/>
      <c r="F56" s="245"/>
      <c r="G56" s="245"/>
      <c r="H56" s="245"/>
      <c r="I56" s="15">
        <f>TRUNC(SUM(I50:I55),2)</f>
        <v>658.5</v>
      </c>
    </row>
    <row r="57" spans="1:11" ht="13.6">
      <c r="A57" s="245"/>
      <c r="B57" s="245"/>
      <c r="C57" s="245"/>
      <c r="D57" s="245"/>
      <c r="E57" s="245"/>
      <c r="F57" s="245"/>
      <c r="G57" s="245"/>
      <c r="H57" s="245"/>
      <c r="I57" s="258"/>
    </row>
    <row r="58" spans="1:11" ht="13.6">
      <c r="A58" s="329" t="s">
        <v>63</v>
      </c>
      <c r="B58" s="329"/>
      <c r="C58" s="329"/>
      <c r="D58" s="329"/>
      <c r="E58" s="329"/>
      <c r="F58" s="329"/>
      <c r="G58" s="329"/>
      <c r="H58" s="329"/>
      <c r="I58" s="329"/>
    </row>
    <row r="59" spans="1:11" ht="13.6">
      <c r="A59" s="245" t="s">
        <v>64</v>
      </c>
      <c r="B59" s="245"/>
      <c r="C59" s="245"/>
      <c r="D59" s="245"/>
      <c r="E59" s="245"/>
      <c r="F59" s="245"/>
      <c r="G59" s="245"/>
      <c r="H59" s="245"/>
      <c r="I59" s="1" t="s">
        <v>28</v>
      </c>
    </row>
    <row r="60" spans="1:11" ht="13.6">
      <c r="A60" s="1" t="s">
        <v>65</v>
      </c>
      <c r="B60" s="240" t="s">
        <v>66</v>
      </c>
      <c r="C60" s="240"/>
      <c r="D60" s="240"/>
      <c r="E60" s="240"/>
      <c r="F60" s="240"/>
      <c r="G60" s="240"/>
      <c r="H60" s="240"/>
      <c r="I60" s="14">
        <f>I36</f>
        <v>336.45</v>
      </c>
    </row>
    <row r="61" spans="1:11" ht="13.6">
      <c r="A61" s="1" t="s">
        <v>67</v>
      </c>
      <c r="B61" s="240" t="s">
        <v>68</v>
      </c>
      <c r="C61" s="240"/>
      <c r="D61" s="240"/>
      <c r="E61" s="240"/>
      <c r="F61" s="240"/>
      <c r="G61" s="240"/>
      <c r="H61" s="240"/>
      <c r="I61" s="14">
        <f>I47</f>
        <v>822.74</v>
      </c>
    </row>
    <row r="62" spans="1:11" ht="13.6">
      <c r="A62" s="1" t="s">
        <v>69</v>
      </c>
      <c r="B62" s="240" t="s">
        <v>70</v>
      </c>
      <c r="C62" s="240"/>
      <c r="D62" s="240"/>
      <c r="E62" s="240"/>
      <c r="F62" s="240"/>
      <c r="G62" s="240"/>
      <c r="H62" s="240"/>
      <c r="I62" s="14">
        <f>I56</f>
        <v>658.5</v>
      </c>
    </row>
    <row r="63" spans="1:11" ht="13.6">
      <c r="A63" s="245" t="s">
        <v>71</v>
      </c>
      <c r="B63" s="245"/>
      <c r="C63" s="245"/>
      <c r="D63" s="245"/>
      <c r="E63" s="245"/>
      <c r="F63" s="245"/>
      <c r="G63" s="245"/>
      <c r="H63" s="245"/>
      <c r="I63" s="15">
        <f>TRUNC(SUM(I60:I62),2)</f>
        <v>1817.69</v>
      </c>
    </row>
    <row r="64" spans="1:11" ht="13.6">
      <c r="A64" s="337" t="s">
        <v>283</v>
      </c>
      <c r="B64" s="332"/>
      <c r="C64" s="332"/>
      <c r="D64" s="332"/>
      <c r="E64" s="332"/>
      <c r="F64" s="332"/>
      <c r="G64" s="332"/>
      <c r="H64" s="332"/>
      <c r="I64" s="332"/>
    </row>
    <row r="65" spans="1:16" ht="13.6">
      <c r="A65" s="329" t="s">
        <v>72</v>
      </c>
      <c r="B65" s="329"/>
      <c r="C65" s="329"/>
      <c r="D65" s="329"/>
      <c r="E65" s="329"/>
      <c r="F65" s="329"/>
      <c r="G65" s="329"/>
      <c r="H65" s="329"/>
      <c r="I65" s="329"/>
    </row>
    <row r="66" spans="1:16" ht="13.6">
      <c r="A66" s="1">
        <v>3</v>
      </c>
      <c r="B66" s="245" t="s">
        <v>73</v>
      </c>
      <c r="C66" s="245"/>
      <c r="D66" s="245"/>
      <c r="E66" s="245"/>
      <c r="F66" s="245"/>
      <c r="G66" s="245"/>
      <c r="H66" s="1" t="s">
        <v>27</v>
      </c>
      <c r="I66" s="1" t="s">
        <v>28</v>
      </c>
    </row>
    <row r="67" spans="1:16" ht="13.6">
      <c r="A67" s="1" t="s">
        <v>2</v>
      </c>
      <c r="B67" s="240" t="s">
        <v>74</v>
      </c>
      <c r="C67" s="240"/>
      <c r="D67" s="240"/>
      <c r="E67" s="240"/>
      <c r="F67" s="240"/>
      <c r="G67" s="240"/>
      <c r="H67" s="219">
        <v>4.1999999999999997E-3</v>
      </c>
      <c r="I67" s="14">
        <f>H67*I29</f>
        <v>7.2691499999999998</v>
      </c>
      <c r="J67" s="211"/>
      <c r="K67" s="31"/>
    </row>
    <row r="68" spans="1:16" ht="13.6">
      <c r="A68" s="1" t="s">
        <v>4</v>
      </c>
      <c r="B68" s="240" t="s">
        <v>75</v>
      </c>
      <c r="C68" s="240"/>
      <c r="D68" s="240"/>
      <c r="E68" s="240"/>
      <c r="F68" s="240"/>
      <c r="G68" s="240"/>
      <c r="H68" s="9">
        <f>0.08*H67</f>
        <v>3.3599999999999998E-4</v>
      </c>
      <c r="I68" s="14">
        <f>H68*I29</f>
        <v>0.58153199999999994</v>
      </c>
      <c r="K68" s="31"/>
    </row>
    <row r="69" spans="1:16" ht="13.6">
      <c r="A69" s="1" t="s">
        <v>7</v>
      </c>
      <c r="B69" s="315" t="s">
        <v>247</v>
      </c>
      <c r="C69" s="240"/>
      <c r="D69" s="240"/>
      <c r="E69" s="240"/>
      <c r="F69" s="240"/>
      <c r="G69" s="240"/>
      <c r="H69" s="9">
        <f>(1+16.66%+(33.33%*8.33%))*8%*40%*90%</f>
        <v>3.4397680032E-2</v>
      </c>
      <c r="I69" s="14">
        <f>H69*I29</f>
        <v>59.533784715384002</v>
      </c>
      <c r="J69" s="211"/>
    </row>
    <row r="70" spans="1:16" ht="13.6">
      <c r="A70" s="1" t="s">
        <v>9</v>
      </c>
      <c r="B70" s="240" t="s">
        <v>77</v>
      </c>
      <c r="C70" s="240"/>
      <c r="D70" s="240"/>
      <c r="E70" s="240"/>
      <c r="F70" s="240"/>
      <c r="G70" s="240"/>
      <c r="H70" s="219">
        <v>1.9400000000000001E-2</v>
      </c>
      <c r="I70" s="14">
        <f>H70*I29</f>
        <v>33.576549999999997</v>
      </c>
      <c r="J70" s="211"/>
      <c r="K70" s="217" t="s">
        <v>270</v>
      </c>
      <c r="L70" s="211"/>
      <c r="M70" s="211"/>
      <c r="N70" s="211"/>
      <c r="O70" s="211"/>
      <c r="P70" s="211"/>
    </row>
    <row r="71" spans="1:16" ht="13.6">
      <c r="A71" s="1" t="s">
        <v>33</v>
      </c>
      <c r="B71" s="315" t="s">
        <v>78</v>
      </c>
      <c r="C71" s="315"/>
      <c r="D71" s="315"/>
      <c r="E71" s="315"/>
      <c r="F71" s="315"/>
      <c r="G71" s="315"/>
      <c r="H71" s="219">
        <f>H47*H70</f>
        <v>7.7212000000000018E-3</v>
      </c>
      <c r="I71" s="14">
        <f>H71*I29</f>
        <v>13.363466900000002</v>
      </c>
    </row>
    <row r="72" spans="1:16" ht="13.6">
      <c r="A72" s="1" t="s">
        <v>35</v>
      </c>
      <c r="B72" s="315" t="s">
        <v>248</v>
      </c>
      <c r="C72" s="240"/>
      <c r="D72" s="240"/>
      <c r="E72" s="240"/>
      <c r="F72" s="240"/>
      <c r="G72" s="240"/>
      <c r="H72" s="12">
        <f>H70*0.4*0.08</f>
        <v>6.2080000000000002E-4</v>
      </c>
      <c r="I72" s="14">
        <f>H72*I29</f>
        <v>1.0744496000000001</v>
      </c>
      <c r="J72" s="211"/>
    </row>
    <row r="73" spans="1:16" ht="13.6">
      <c r="A73" s="245" t="s">
        <v>80</v>
      </c>
      <c r="B73" s="245"/>
      <c r="C73" s="245"/>
      <c r="D73" s="245"/>
      <c r="E73" s="245"/>
      <c r="F73" s="245"/>
      <c r="G73" s="245"/>
      <c r="H73" s="11">
        <f>TRUNC(SUM(H67:H72),4)</f>
        <v>6.6600000000000006E-2</v>
      </c>
      <c r="I73" s="15">
        <f>TRUNC(SUM(I67:I72),2)</f>
        <v>115.39</v>
      </c>
    </row>
    <row r="74" spans="1:16" ht="13.6">
      <c r="A74" s="331" t="s">
        <v>284</v>
      </c>
      <c r="B74" s="332"/>
      <c r="C74" s="332"/>
      <c r="D74" s="332"/>
      <c r="E74" s="332"/>
      <c r="F74" s="332"/>
      <c r="G74" s="332"/>
      <c r="H74" s="332"/>
      <c r="I74" s="332"/>
    </row>
    <row r="75" spans="1:16" ht="13.6">
      <c r="A75" s="338" t="s">
        <v>81</v>
      </c>
      <c r="B75" s="338"/>
      <c r="C75" s="338"/>
      <c r="D75" s="338"/>
      <c r="E75" s="338"/>
      <c r="F75" s="338"/>
      <c r="G75" s="338"/>
      <c r="H75" s="338"/>
      <c r="I75" s="338"/>
    </row>
    <row r="76" spans="1:16" ht="13.6">
      <c r="A76" s="245" t="s">
        <v>82</v>
      </c>
      <c r="B76" s="245"/>
      <c r="C76" s="245"/>
      <c r="D76" s="245"/>
      <c r="E76" s="245"/>
      <c r="F76" s="245"/>
      <c r="G76" s="245"/>
      <c r="H76" s="1" t="s">
        <v>27</v>
      </c>
      <c r="I76" s="1" t="s">
        <v>28</v>
      </c>
    </row>
    <row r="77" spans="1:16" ht="13.6">
      <c r="A77" s="1" t="s">
        <v>2</v>
      </c>
      <c r="B77" s="240" t="s">
        <v>83</v>
      </c>
      <c r="C77" s="240"/>
      <c r="D77" s="240"/>
      <c r="E77" s="240"/>
      <c r="F77" s="240"/>
      <c r="G77" s="240"/>
      <c r="H77" s="9">
        <v>8.3299999999999999E-2</v>
      </c>
      <c r="I77" s="14">
        <f>$I$29*H77</f>
        <v>144.17147499999999</v>
      </c>
    </row>
    <row r="78" spans="1:16" ht="13.6">
      <c r="A78" s="1" t="s">
        <v>4</v>
      </c>
      <c r="B78" s="240" t="s">
        <v>279</v>
      </c>
      <c r="C78" s="240"/>
      <c r="D78" s="240"/>
      <c r="E78" s="240"/>
      <c r="F78" s="240"/>
      <c r="G78" s="240"/>
      <c r="H78" s="219">
        <v>2.8E-3</v>
      </c>
      <c r="I78" s="14">
        <f t="shared" ref="I78:I82" si="1">$I$29*H78</f>
        <v>4.8460999999999999</v>
      </c>
      <c r="J78" s="211"/>
    </row>
    <row r="79" spans="1:16" ht="13.6">
      <c r="A79" s="1" t="s">
        <v>7</v>
      </c>
      <c r="B79" s="240" t="s">
        <v>85</v>
      </c>
      <c r="C79" s="240"/>
      <c r="D79" s="240"/>
      <c r="E79" s="240"/>
      <c r="F79" s="240"/>
      <c r="G79" s="240"/>
      <c r="H79" s="219">
        <v>2.0000000000000001E-4</v>
      </c>
      <c r="I79" s="14">
        <f>$I$29*H79</f>
        <v>0.34615000000000001</v>
      </c>
      <c r="J79" s="211"/>
    </row>
    <row r="80" spans="1:16" ht="13.6">
      <c r="A80" s="1" t="s">
        <v>9</v>
      </c>
      <c r="B80" s="240" t="s">
        <v>86</v>
      </c>
      <c r="C80" s="240"/>
      <c r="D80" s="240"/>
      <c r="E80" s="240"/>
      <c r="F80" s="240"/>
      <c r="G80" s="240"/>
      <c r="H80" s="219">
        <v>8.0000000000000004E-4</v>
      </c>
      <c r="I80" s="14">
        <f t="shared" si="1"/>
        <v>1.3846000000000001</v>
      </c>
      <c r="J80" s="211"/>
    </row>
    <row r="81" spans="1:12" ht="13.6">
      <c r="A81" s="1" t="s">
        <v>33</v>
      </c>
      <c r="B81" s="240" t="s">
        <v>87</v>
      </c>
      <c r="C81" s="240"/>
      <c r="D81" s="240"/>
      <c r="E81" s="240"/>
      <c r="F81" s="240"/>
      <c r="G81" s="240"/>
      <c r="H81" s="219">
        <v>8.0000000000000004E-4</v>
      </c>
      <c r="I81" s="14">
        <f>$I$29*H81</f>
        <v>1.3846000000000001</v>
      </c>
      <c r="K81" s="31"/>
    </row>
    <row r="82" spans="1:12" ht="13.6">
      <c r="A82" s="1" t="s">
        <v>35</v>
      </c>
      <c r="B82" s="240" t="s">
        <v>278</v>
      </c>
      <c r="C82" s="240"/>
      <c r="D82" s="240"/>
      <c r="E82" s="240"/>
      <c r="F82" s="240"/>
      <c r="G82" s="240"/>
      <c r="H82" s="9">
        <v>1.3899999999999999E-2</v>
      </c>
      <c r="I82" s="14">
        <f t="shared" si="1"/>
        <v>24.057424999999999</v>
      </c>
    </row>
    <row r="83" spans="1:12" ht="13.6">
      <c r="A83" s="245" t="s">
        <v>89</v>
      </c>
      <c r="B83" s="245"/>
      <c r="C83" s="245"/>
      <c r="D83" s="245"/>
      <c r="E83" s="245"/>
      <c r="F83" s="245"/>
      <c r="G83" s="245"/>
      <c r="H83" s="11">
        <f>TRUNC(SUM(H77:H82),4)</f>
        <v>0.1018</v>
      </c>
      <c r="I83" s="15">
        <f>TRUNC(SUM(I77:I82),2)</f>
        <v>176.19</v>
      </c>
    </row>
    <row r="84" spans="1:12" ht="13.6">
      <c r="A84" s="339"/>
      <c r="B84" s="259"/>
      <c r="C84" s="259"/>
      <c r="D84" s="259"/>
      <c r="E84" s="259"/>
      <c r="F84" s="259"/>
      <c r="G84" s="259"/>
      <c r="H84" s="259"/>
      <c r="I84" s="259"/>
    </row>
    <row r="85" spans="1:12" ht="13.6">
      <c r="A85" s="245" t="s">
        <v>90</v>
      </c>
      <c r="B85" s="245"/>
      <c r="C85" s="245"/>
      <c r="D85" s="245"/>
      <c r="E85" s="245"/>
      <c r="F85" s="245"/>
      <c r="G85" s="245"/>
      <c r="H85" s="1" t="s">
        <v>27</v>
      </c>
      <c r="I85" s="1" t="s">
        <v>28</v>
      </c>
    </row>
    <row r="86" spans="1:12" ht="13.6">
      <c r="A86" s="1" t="s">
        <v>2</v>
      </c>
      <c r="B86" s="240" t="s">
        <v>91</v>
      </c>
      <c r="C86" s="240"/>
      <c r="D86" s="240"/>
      <c r="E86" s="240"/>
      <c r="F86" s="240"/>
      <c r="G86" s="240"/>
      <c r="H86" s="9">
        <v>0</v>
      </c>
      <c r="I86" s="14">
        <f t="shared" ref="I86" si="2">$I$29*H86</f>
        <v>0</v>
      </c>
    </row>
    <row r="87" spans="1:12" ht="13.6">
      <c r="A87" s="245" t="s">
        <v>92</v>
      </c>
      <c r="B87" s="245"/>
      <c r="C87" s="245"/>
      <c r="D87" s="245"/>
      <c r="E87" s="245"/>
      <c r="F87" s="245"/>
      <c r="G87" s="245"/>
      <c r="H87" s="11">
        <f>TRUNC(SUM(H86),4)</f>
        <v>0</v>
      </c>
      <c r="I87" s="15">
        <f>TRUNC(SUM(I86),2)</f>
        <v>0</v>
      </c>
    </row>
    <row r="88" spans="1:12" ht="13.6">
      <c r="A88" s="339"/>
      <c r="B88" s="259"/>
      <c r="C88" s="259"/>
      <c r="D88" s="259"/>
      <c r="E88" s="259"/>
      <c r="F88" s="259"/>
      <c r="G88" s="259"/>
      <c r="H88" s="259"/>
      <c r="I88" s="259"/>
    </row>
    <row r="89" spans="1:12" ht="13.6">
      <c r="A89" s="258" t="s">
        <v>93</v>
      </c>
      <c r="B89" s="259"/>
      <c r="C89" s="259"/>
      <c r="D89" s="259"/>
      <c r="E89" s="259"/>
      <c r="F89" s="259"/>
      <c r="G89" s="259"/>
      <c r="H89" s="259"/>
      <c r="I89" s="333"/>
    </row>
    <row r="90" spans="1:12" ht="13.6">
      <c r="A90" s="258" t="s">
        <v>94</v>
      </c>
      <c r="B90" s="259"/>
      <c r="C90" s="259"/>
      <c r="D90" s="259"/>
      <c r="E90" s="259"/>
      <c r="F90" s="259"/>
      <c r="G90" s="333"/>
      <c r="H90" s="1" t="s">
        <v>27</v>
      </c>
      <c r="I90" s="1" t="s">
        <v>28</v>
      </c>
      <c r="L90" s="217"/>
    </row>
    <row r="91" spans="1:12" ht="13.6">
      <c r="A91" s="1" t="s">
        <v>95</v>
      </c>
      <c r="B91" s="251" t="s">
        <v>96</v>
      </c>
      <c r="C91" s="252"/>
      <c r="D91" s="252"/>
      <c r="E91" s="252"/>
      <c r="F91" s="252"/>
      <c r="G91" s="253"/>
      <c r="H91" s="225" t="s">
        <v>58</v>
      </c>
      <c r="I91" s="14">
        <f>I83</f>
        <v>176.19</v>
      </c>
      <c r="L91" s="213"/>
    </row>
    <row r="92" spans="1:12" ht="13.6">
      <c r="A92" s="1" t="s">
        <v>97</v>
      </c>
      <c r="B92" s="326" t="s">
        <v>98</v>
      </c>
      <c r="C92" s="334"/>
      <c r="D92" s="334"/>
      <c r="E92" s="334"/>
      <c r="F92" s="334"/>
      <c r="G92" s="335"/>
      <c r="H92" s="225" t="s">
        <v>58</v>
      </c>
      <c r="I92" s="14">
        <f>I87</f>
        <v>0</v>
      </c>
    </row>
    <row r="93" spans="1:12" ht="13.6">
      <c r="A93" s="1" t="s">
        <v>252</v>
      </c>
      <c r="B93" s="326" t="s">
        <v>291</v>
      </c>
      <c r="C93" s="334"/>
      <c r="D93" s="334"/>
      <c r="E93" s="334"/>
      <c r="F93" s="334"/>
      <c r="G93" s="335"/>
      <c r="H93" s="6">
        <v>0.19359999999999999</v>
      </c>
      <c r="I93" s="14">
        <f>I91*H93</f>
        <v>34.110383999999996</v>
      </c>
    </row>
    <row r="94" spans="1:12" ht="13.6">
      <c r="A94" s="1" t="s">
        <v>287</v>
      </c>
      <c r="B94" s="326" t="s">
        <v>251</v>
      </c>
      <c r="C94" s="334"/>
      <c r="D94" s="334"/>
      <c r="E94" s="334"/>
      <c r="F94" s="334"/>
      <c r="G94" s="335"/>
      <c r="H94" s="6">
        <v>0.39800000000000002</v>
      </c>
      <c r="I94" s="14">
        <f>I91*H94</f>
        <v>70.123620000000003</v>
      </c>
      <c r="K94" s="211"/>
      <c r="L94" s="214"/>
    </row>
    <row r="95" spans="1:12" ht="13.6">
      <c r="A95" s="245" t="s">
        <v>99</v>
      </c>
      <c r="B95" s="245"/>
      <c r="C95" s="245"/>
      <c r="D95" s="245"/>
      <c r="E95" s="245"/>
      <c r="F95" s="245"/>
      <c r="G95" s="245"/>
      <c r="H95" s="245"/>
      <c r="I95" s="15">
        <f>TRUNC(SUM(I91:I94),2)</f>
        <v>280.42</v>
      </c>
    </row>
    <row r="96" spans="1:12" ht="13.6">
      <c r="A96" s="226"/>
      <c r="B96" s="44"/>
      <c r="C96" s="44"/>
      <c r="D96" s="44"/>
      <c r="E96" s="44"/>
      <c r="F96" s="44"/>
      <c r="G96" s="44"/>
      <c r="H96" s="44"/>
      <c r="I96" s="44"/>
    </row>
    <row r="97" spans="1:12" ht="13.6">
      <c r="A97" s="245" t="s">
        <v>100</v>
      </c>
      <c r="B97" s="245"/>
      <c r="C97" s="245"/>
      <c r="D97" s="245"/>
      <c r="E97" s="245"/>
      <c r="F97" s="245"/>
      <c r="G97" s="245"/>
      <c r="H97" s="245"/>
      <c r="I97" s="245"/>
    </row>
    <row r="98" spans="1:12" ht="13.6">
      <c r="A98" s="1">
        <v>5</v>
      </c>
      <c r="B98" s="245" t="s">
        <v>101</v>
      </c>
      <c r="C98" s="245"/>
      <c r="D98" s="245"/>
      <c r="E98" s="245"/>
      <c r="F98" s="245"/>
      <c r="G98" s="245"/>
      <c r="H98" s="1"/>
      <c r="I98" s="1" t="s">
        <v>28</v>
      </c>
    </row>
    <row r="99" spans="1:12" ht="13.6">
      <c r="A99" s="1" t="s">
        <v>2</v>
      </c>
      <c r="B99" s="309" t="s">
        <v>235</v>
      </c>
      <c r="C99" s="250"/>
      <c r="D99" s="250"/>
      <c r="E99" s="250"/>
      <c r="F99" s="250"/>
      <c r="G99" s="250"/>
      <c r="H99" s="2" t="s">
        <v>58</v>
      </c>
      <c r="I99" s="231">
        <v>7.17</v>
      </c>
    </row>
    <row r="100" spans="1:12" ht="13.6">
      <c r="A100" s="1" t="s">
        <v>4</v>
      </c>
      <c r="B100" s="309" t="s">
        <v>160</v>
      </c>
      <c r="C100" s="250"/>
      <c r="D100" s="250"/>
      <c r="E100" s="250"/>
      <c r="F100" s="250"/>
      <c r="G100" s="250"/>
      <c r="H100" s="2" t="s">
        <v>58</v>
      </c>
      <c r="I100" s="231">
        <v>154.80000000000001</v>
      </c>
    </row>
    <row r="101" spans="1:12" ht="13.6">
      <c r="A101" s="13" t="s">
        <v>7</v>
      </c>
      <c r="B101" s="250" t="s">
        <v>36</v>
      </c>
      <c r="C101" s="250"/>
      <c r="D101" s="250"/>
      <c r="E101" s="250"/>
      <c r="F101" s="250"/>
      <c r="G101" s="250"/>
      <c r="H101" s="2" t="s">
        <v>58</v>
      </c>
      <c r="I101" s="14">
        <v>0</v>
      </c>
    </row>
    <row r="102" spans="1:12" ht="13.6">
      <c r="A102" s="13" t="s">
        <v>9</v>
      </c>
      <c r="B102" s="250" t="s">
        <v>36</v>
      </c>
      <c r="C102" s="250"/>
      <c r="D102" s="250"/>
      <c r="E102" s="250"/>
      <c r="F102" s="250"/>
      <c r="G102" s="250"/>
      <c r="H102" s="2" t="s">
        <v>58</v>
      </c>
      <c r="I102" s="14">
        <v>0</v>
      </c>
      <c r="L102" s="211"/>
    </row>
    <row r="103" spans="1:12" ht="13.6">
      <c r="A103" s="245" t="s">
        <v>105</v>
      </c>
      <c r="B103" s="245"/>
      <c r="C103" s="245"/>
      <c r="D103" s="245"/>
      <c r="E103" s="245"/>
      <c r="F103" s="245"/>
      <c r="G103" s="245"/>
      <c r="H103" s="219" t="s">
        <v>58</v>
      </c>
      <c r="I103" s="15">
        <f>TRUNC(SUM(I99:I102),2)</f>
        <v>161.97</v>
      </c>
    </row>
    <row r="104" spans="1:12" ht="13.6">
      <c r="A104" s="255"/>
      <c r="B104" s="256"/>
      <c r="C104" s="256"/>
      <c r="D104" s="256"/>
      <c r="E104" s="256"/>
      <c r="F104" s="256"/>
      <c r="G104" s="256"/>
      <c r="H104" s="256"/>
      <c r="I104" s="256"/>
    </row>
    <row r="105" spans="1:12" ht="13.6">
      <c r="A105" s="244" t="s">
        <v>106</v>
      </c>
      <c r="B105" s="244"/>
      <c r="C105" s="244"/>
      <c r="D105" s="244"/>
      <c r="E105" s="244"/>
      <c r="F105" s="244"/>
      <c r="G105" s="244"/>
      <c r="H105" s="244"/>
      <c r="I105" s="244"/>
    </row>
    <row r="106" spans="1:12" ht="13.6">
      <c r="A106" s="1">
        <v>6</v>
      </c>
      <c r="B106" s="245" t="s">
        <v>107</v>
      </c>
      <c r="C106" s="245"/>
      <c r="D106" s="245"/>
      <c r="E106" s="245"/>
      <c r="F106" s="245"/>
      <c r="G106" s="245"/>
      <c r="H106" s="1" t="s">
        <v>27</v>
      </c>
      <c r="I106" s="1" t="s">
        <v>28</v>
      </c>
    </row>
    <row r="107" spans="1:12" ht="13.6">
      <c r="A107" s="1" t="s">
        <v>2</v>
      </c>
      <c r="B107" s="240" t="s">
        <v>108</v>
      </c>
      <c r="C107" s="240"/>
      <c r="D107" s="240"/>
      <c r="E107" s="240"/>
      <c r="F107" s="240"/>
      <c r="G107" s="240"/>
      <c r="H107" s="20">
        <v>0.03</v>
      </c>
      <c r="I107" s="14">
        <f>TRUNC(H107*I131,2)</f>
        <v>123.18</v>
      </c>
      <c r="L107" s="213"/>
    </row>
    <row r="108" spans="1:12" ht="13.6">
      <c r="A108" s="1" t="s">
        <v>4</v>
      </c>
      <c r="B108" s="240" t="s">
        <v>109</v>
      </c>
      <c r="C108" s="240"/>
      <c r="D108" s="240"/>
      <c r="E108" s="240"/>
      <c r="F108" s="240"/>
      <c r="G108" s="240"/>
      <c r="H108" s="21">
        <v>6.7900000000000002E-2</v>
      </c>
      <c r="I108" s="14">
        <f>TRUNC(H108*(I107+I131),2)</f>
        <v>287.17</v>
      </c>
      <c r="K108" s="211"/>
      <c r="L108" s="214"/>
    </row>
    <row r="109" spans="1:12" ht="13.6">
      <c r="A109" s="1" t="s">
        <v>7</v>
      </c>
      <c r="B109" s="264" t="s">
        <v>110</v>
      </c>
      <c r="C109" s="264"/>
      <c r="D109" s="264"/>
      <c r="E109" s="264"/>
      <c r="F109" s="264"/>
      <c r="G109" s="264"/>
      <c r="H109" s="6"/>
      <c r="I109" s="32"/>
    </row>
    <row r="110" spans="1:12" ht="13.6">
      <c r="A110" s="1" t="s">
        <v>111</v>
      </c>
      <c r="B110" s="315" t="s">
        <v>246</v>
      </c>
      <c r="C110" s="240"/>
      <c r="D110" s="240"/>
      <c r="E110" s="240"/>
      <c r="F110" s="240"/>
      <c r="G110" s="240"/>
      <c r="H110" s="22">
        <v>1.6500000000000001E-2</v>
      </c>
      <c r="I110" s="14">
        <f>TRUNC(H110*I120,2)</f>
        <v>86.9</v>
      </c>
      <c r="L110" s="214"/>
    </row>
    <row r="111" spans="1:12" ht="13.6">
      <c r="A111" s="1" t="s">
        <v>113</v>
      </c>
      <c r="B111" s="315" t="s">
        <v>245</v>
      </c>
      <c r="C111" s="240"/>
      <c r="D111" s="240"/>
      <c r="E111" s="240"/>
      <c r="F111" s="240"/>
      <c r="G111" s="240"/>
      <c r="H111" s="22">
        <v>7.5999999999999998E-2</v>
      </c>
      <c r="I111" s="14">
        <f>TRUNC(H111*I120,2)</f>
        <v>400.3</v>
      </c>
      <c r="L111" s="214"/>
    </row>
    <row r="112" spans="1:12" ht="13.6">
      <c r="A112" s="1" t="s">
        <v>115</v>
      </c>
      <c r="B112" s="240" t="s">
        <v>116</v>
      </c>
      <c r="C112" s="240"/>
      <c r="D112" s="240"/>
      <c r="E112" s="240"/>
      <c r="F112" s="240"/>
      <c r="G112" s="240"/>
      <c r="H112" s="22">
        <v>0.05</v>
      </c>
      <c r="I112" s="14">
        <f>TRUNC(H112*I120,2)</f>
        <v>263.35000000000002</v>
      </c>
      <c r="L112" s="214"/>
    </row>
    <row r="113" spans="1:12" ht="13.6">
      <c r="A113" s="245" t="s">
        <v>117</v>
      </c>
      <c r="B113" s="245"/>
      <c r="C113" s="245"/>
      <c r="D113" s="245"/>
      <c r="E113" s="245"/>
      <c r="F113" s="245"/>
      <c r="G113" s="245"/>
      <c r="H113" s="22">
        <f>SUM(H107:H112)</f>
        <v>0.2404</v>
      </c>
      <c r="I113" s="15">
        <f>TRUNC(SUM(I107:I112),2)</f>
        <v>1160.9000000000001</v>
      </c>
      <c r="L113" s="216"/>
    </row>
    <row r="114" spans="1:12">
      <c r="A114" s="4"/>
      <c r="B114" s="265"/>
      <c r="C114" s="265"/>
      <c r="D114" s="265"/>
      <c r="E114" s="265"/>
      <c r="F114" s="265"/>
      <c r="G114" s="265"/>
      <c r="H114" s="265"/>
      <c r="I114" s="265"/>
    </row>
    <row r="115" spans="1:12" ht="13.6">
      <c r="A115" s="23" t="s">
        <v>118</v>
      </c>
      <c r="B115" s="266" t="s">
        <v>119</v>
      </c>
      <c r="C115" s="266"/>
      <c r="D115" s="266"/>
      <c r="E115" s="266"/>
      <c r="F115" s="266"/>
      <c r="G115" s="266"/>
      <c r="H115" s="24">
        <f>TRUNC(H110+H111+H112,4)</f>
        <v>0.14249999999999999</v>
      </c>
      <c r="I115" s="33"/>
      <c r="K115" s="215"/>
      <c r="L115" s="215"/>
    </row>
    <row r="116" spans="1:12" ht="13.6">
      <c r="A116" s="25"/>
      <c r="B116" s="267">
        <v>100</v>
      </c>
      <c r="C116" s="267"/>
      <c r="D116" s="267"/>
      <c r="E116" s="267"/>
      <c r="F116" s="267"/>
      <c r="G116" s="267"/>
      <c r="H116" s="27"/>
      <c r="I116" s="34"/>
    </row>
    <row r="117" spans="1:12" ht="13.6">
      <c r="A117" s="28"/>
      <c r="B117" s="26"/>
      <c r="C117" s="26"/>
      <c r="D117" s="26"/>
      <c r="E117" s="26"/>
      <c r="F117" s="26"/>
      <c r="G117" s="26"/>
      <c r="H117" s="27"/>
      <c r="I117" s="34"/>
    </row>
    <row r="118" spans="1:12" ht="13.6">
      <c r="A118" s="25" t="s">
        <v>120</v>
      </c>
      <c r="B118" s="267" t="s">
        <v>292</v>
      </c>
      <c r="C118" s="267"/>
      <c r="D118" s="267"/>
      <c r="E118" s="267"/>
      <c r="F118" s="267"/>
      <c r="G118" s="267"/>
      <c r="H118" s="27"/>
      <c r="I118" s="34">
        <f>TRUNC(I131+I107+I108,2)</f>
        <v>4516.57</v>
      </c>
      <c r="K118" s="214"/>
    </row>
    <row r="119" spans="1:12" ht="13.6">
      <c r="A119" s="25"/>
      <c r="B119" s="26"/>
      <c r="C119" s="26"/>
      <c r="D119" s="26"/>
      <c r="E119" s="26"/>
      <c r="F119" s="26"/>
      <c r="G119" s="26"/>
      <c r="H119" s="27"/>
      <c r="I119" s="34"/>
    </row>
    <row r="120" spans="1:12" ht="13.6">
      <c r="A120" s="25" t="s">
        <v>122</v>
      </c>
      <c r="B120" s="267" t="s">
        <v>123</v>
      </c>
      <c r="C120" s="267"/>
      <c r="D120" s="267"/>
      <c r="E120" s="267"/>
      <c r="F120" s="267"/>
      <c r="G120" s="267"/>
      <c r="H120" s="27"/>
      <c r="I120" s="34">
        <f>TRUNC(I118/(1-H115),2)</f>
        <v>5267.13</v>
      </c>
      <c r="K120" s="214"/>
    </row>
    <row r="121" spans="1:12" ht="13.6">
      <c r="A121" s="25"/>
      <c r="B121" s="26"/>
      <c r="C121" s="26"/>
      <c r="D121" s="26"/>
      <c r="E121" s="26"/>
      <c r="F121" s="26"/>
      <c r="G121" s="26"/>
      <c r="H121" s="27"/>
      <c r="I121" s="34"/>
    </row>
    <row r="122" spans="1:12" ht="13.6">
      <c r="A122" s="29"/>
      <c r="B122" s="268" t="s">
        <v>124</v>
      </c>
      <c r="C122" s="268"/>
      <c r="D122" s="268"/>
      <c r="E122" s="268"/>
      <c r="F122" s="268"/>
      <c r="G122" s="268"/>
      <c r="H122" s="30"/>
      <c r="I122" s="35">
        <f>TRUNC(I120-I118,2)</f>
        <v>750.56</v>
      </c>
      <c r="K122" s="31"/>
    </row>
    <row r="123" spans="1:12" ht="13.6">
      <c r="A123" s="4"/>
      <c r="B123" s="4"/>
      <c r="C123" s="4"/>
      <c r="D123" s="4"/>
      <c r="E123" s="4"/>
      <c r="F123" s="4"/>
      <c r="G123" s="4"/>
      <c r="H123" s="4"/>
      <c r="I123" s="16"/>
    </row>
    <row r="124" spans="1:12" ht="13.6">
      <c r="A124" s="254" t="s">
        <v>125</v>
      </c>
      <c r="B124" s="254"/>
      <c r="C124" s="254"/>
      <c r="D124" s="254"/>
      <c r="E124" s="254"/>
      <c r="F124" s="254"/>
      <c r="G124" s="254"/>
      <c r="H124" s="254"/>
      <c r="I124" s="254"/>
      <c r="J124" s="211"/>
    </row>
    <row r="125" spans="1:12" ht="13.6">
      <c r="A125" s="245" t="s">
        <v>126</v>
      </c>
      <c r="B125" s="245"/>
      <c r="C125" s="245"/>
      <c r="D125" s="245"/>
      <c r="E125" s="245"/>
      <c r="F125" s="245"/>
      <c r="G125" s="245"/>
      <c r="H125" s="245"/>
      <c r="I125" s="1" t="s">
        <v>28</v>
      </c>
    </row>
    <row r="126" spans="1:12">
      <c r="A126" s="2" t="s">
        <v>2</v>
      </c>
      <c r="B126" s="240" t="str">
        <f>A21</f>
        <v>MÓDULO 1 - COMPOSIÇÃO DA REMUNERAÇÃO</v>
      </c>
      <c r="C126" s="240"/>
      <c r="D126" s="240"/>
      <c r="E126" s="240"/>
      <c r="F126" s="240"/>
      <c r="G126" s="240"/>
      <c r="H126" s="240"/>
      <c r="I126" s="14">
        <f>I29</f>
        <v>1730.75</v>
      </c>
      <c r="K126" s="213"/>
    </row>
    <row r="127" spans="1:12">
      <c r="A127" s="2" t="s">
        <v>4</v>
      </c>
      <c r="B127" s="240" t="str">
        <f>A31</f>
        <v>MÓDULO 2 – ENCARGOS E BENEFÍCIOS ANUAIS, MENSAIS E DIÁRIOS</v>
      </c>
      <c r="C127" s="240"/>
      <c r="D127" s="240"/>
      <c r="E127" s="240"/>
      <c r="F127" s="240"/>
      <c r="G127" s="240"/>
      <c r="H127" s="240"/>
      <c r="I127" s="14">
        <f>I63</f>
        <v>1817.69</v>
      </c>
      <c r="K127" s="213"/>
    </row>
    <row r="128" spans="1:12">
      <c r="A128" s="2" t="s">
        <v>7</v>
      </c>
      <c r="B128" s="240" t="str">
        <f>A65</f>
        <v>MÓDULO 3 – PROVISÃO PARA RESCISÃO</v>
      </c>
      <c r="C128" s="240"/>
      <c r="D128" s="240"/>
      <c r="E128" s="240"/>
      <c r="F128" s="240"/>
      <c r="G128" s="240"/>
      <c r="H128" s="240"/>
      <c r="I128" s="14">
        <f>I73</f>
        <v>115.39</v>
      </c>
      <c r="K128" s="213"/>
    </row>
    <row r="129" spans="1:11">
      <c r="A129" s="2" t="s">
        <v>9</v>
      </c>
      <c r="B129" s="240" t="str">
        <f>A75</f>
        <v>MÓDULO 4 – CUSTO DE REPOSIÇÃO DO PROFISSIONAL AUSENTE</v>
      </c>
      <c r="C129" s="240"/>
      <c r="D129" s="240"/>
      <c r="E129" s="240"/>
      <c r="F129" s="240"/>
      <c r="G129" s="240"/>
      <c r="H129" s="240"/>
      <c r="I129" s="14">
        <f>I95</f>
        <v>280.42</v>
      </c>
      <c r="K129" s="213"/>
    </row>
    <row r="130" spans="1:11">
      <c r="A130" s="2" t="s">
        <v>33</v>
      </c>
      <c r="B130" s="240" t="str">
        <f>A97</f>
        <v>MÓDULO 5 – INSUMOS DIVERSOS</v>
      </c>
      <c r="C130" s="240"/>
      <c r="D130" s="240"/>
      <c r="E130" s="240"/>
      <c r="F130" s="240"/>
      <c r="G130" s="240"/>
      <c r="H130" s="240"/>
      <c r="I130" s="14">
        <f>I103</f>
        <v>161.97</v>
      </c>
      <c r="K130" s="213"/>
    </row>
    <row r="131" spans="1:11" ht="13.6">
      <c r="A131" s="1"/>
      <c r="B131" s="245" t="s">
        <v>127</v>
      </c>
      <c r="C131" s="245"/>
      <c r="D131" s="245"/>
      <c r="E131" s="245"/>
      <c r="F131" s="245"/>
      <c r="G131" s="245"/>
      <c r="H131" s="245"/>
      <c r="I131" s="15">
        <f>TRUNC(SUM(I126:I130),2)</f>
        <v>4106.22</v>
      </c>
      <c r="K131" s="213"/>
    </row>
    <row r="132" spans="1:11">
      <c r="A132" s="2" t="s">
        <v>35</v>
      </c>
      <c r="B132" s="240" t="str">
        <f>A105</f>
        <v>MÓDULO 6 – CUSTOS INDIRETOS, TRIBUTOS E LUCRO</v>
      </c>
      <c r="C132" s="240"/>
      <c r="D132" s="240"/>
      <c r="E132" s="240"/>
      <c r="F132" s="240"/>
      <c r="G132" s="240"/>
      <c r="H132" s="240"/>
      <c r="I132" s="14">
        <f>I113</f>
        <v>1160.9000000000001</v>
      </c>
      <c r="K132" s="213"/>
    </row>
    <row r="133" spans="1:11" ht="13.6">
      <c r="A133" s="245" t="s">
        <v>128</v>
      </c>
      <c r="B133" s="245"/>
      <c r="C133" s="245"/>
      <c r="D133" s="245"/>
      <c r="E133" s="245"/>
      <c r="F133" s="245"/>
      <c r="G133" s="245"/>
      <c r="H133" s="245"/>
      <c r="I133" s="15">
        <f>TRUNC(SUM(I131:I132),2)</f>
        <v>5267.12</v>
      </c>
      <c r="K133" s="216"/>
    </row>
    <row r="134" spans="1:11">
      <c r="I134" s="31"/>
    </row>
    <row r="135" spans="1:11" ht="14.3" thickBot="1">
      <c r="A135" s="4"/>
      <c r="B135" s="237" t="s">
        <v>129</v>
      </c>
      <c r="C135" s="237"/>
      <c r="D135" s="237"/>
      <c r="E135" s="237"/>
      <c r="F135" s="237"/>
      <c r="G135" s="237"/>
      <c r="H135" s="8"/>
      <c r="I135" s="8"/>
    </row>
    <row r="136" spans="1:11" ht="41.45" thickBot="1">
      <c r="A136" s="269" t="s">
        <v>130</v>
      </c>
      <c r="B136" s="270"/>
      <c r="C136" s="269" t="s">
        <v>131</v>
      </c>
      <c r="D136" s="270"/>
      <c r="E136" s="269" t="s">
        <v>132</v>
      </c>
      <c r="F136" s="270"/>
      <c r="G136" s="37" t="s">
        <v>133</v>
      </c>
      <c r="H136" s="38" t="s">
        <v>134</v>
      </c>
      <c r="I136" s="52" t="s">
        <v>28</v>
      </c>
    </row>
    <row r="137" spans="1:11">
      <c r="A137" s="271" t="s">
        <v>135</v>
      </c>
      <c r="B137" s="272"/>
      <c r="C137" s="273" t="s">
        <v>136</v>
      </c>
      <c r="D137" s="274"/>
      <c r="E137" s="275"/>
      <c r="F137" s="276"/>
      <c r="G137" s="40" t="s">
        <v>136</v>
      </c>
      <c r="H137" s="41"/>
      <c r="I137" s="53">
        <v>0</v>
      </c>
    </row>
    <row r="138" spans="1:11">
      <c r="A138" s="242" t="s">
        <v>137</v>
      </c>
      <c r="B138" s="277"/>
      <c r="C138" s="278" t="s">
        <v>136</v>
      </c>
      <c r="D138" s="279"/>
      <c r="E138" s="280"/>
      <c r="F138" s="281"/>
      <c r="G138" s="42" t="s">
        <v>136</v>
      </c>
      <c r="H138" s="43"/>
      <c r="I138" s="54">
        <v>0</v>
      </c>
    </row>
    <row r="139" spans="1:11">
      <c r="A139" s="242" t="s">
        <v>138</v>
      </c>
      <c r="B139" s="277"/>
      <c r="C139" s="278" t="s">
        <v>136</v>
      </c>
      <c r="D139" s="279"/>
      <c r="E139" s="280"/>
      <c r="F139" s="281"/>
      <c r="G139" s="42" t="s">
        <v>136</v>
      </c>
      <c r="H139" s="43"/>
      <c r="I139" s="54">
        <v>0</v>
      </c>
    </row>
    <row r="140" spans="1:11">
      <c r="A140" s="242" t="s">
        <v>139</v>
      </c>
      <c r="B140" s="277"/>
      <c r="C140" s="278" t="s">
        <v>136</v>
      </c>
      <c r="D140" s="279"/>
      <c r="E140" s="280"/>
      <c r="F140" s="281"/>
      <c r="G140" s="42" t="s">
        <v>136</v>
      </c>
      <c r="H140" s="43"/>
      <c r="I140" s="54">
        <v>0</v>
      </c>
    </row>
    <row r="141" spans="1:11" ht="13.6">
      <c r="A141" s="282"/>
      <c r="B141" s="258"/>
      <c r="C141" s="280"/>
      <c r="D141" s="281"/>
      <c r="E141" s="280"/>
      <c r="F141" s="281"/>
      <c r="G141" s="44"/>
      <c r="H141" s="45"/>
      <c r="I141" s="54"/>
    </row>
    <row r="142" spans="1:11" ht="14.3" thickBot="1">
      <c r="A142" s="289"/>
      <c r="B142" s="290"/>
      <c r="C142" s="291"/>
      <c r="D142" s="292"/>
      <c r="E142" s="291"/>
      <c r="F142" s="292"/>
      <c r="G142" s="46"/>
      <c r="H142" s="47"/>
      <c r="I142" s="55"/>
    </row>
    <row r="143" spans="1:11" ht="14.3" thickBot="1">
      <c r="A143" s="293" t="s">
        <v>140</v>
      </c>
      <c r="B143" s="294"/>
      <c r="C143" s="294"/>
      <c r="D143" s="294"/>
      <c r="E143" s="294"/>
      <c r="F143" s="294"/>
      <c r="G143" s="294"/>
      <c r="H143" s="295"/>
      <c r="I143" s="56">
        <f>SUM(I141:I142)</f>
        <v>0</v>
      </c>
    </row>
    <row r="145" spans="1:9" ht="14.3" thickBot="1">
      <c r="A145" s="4" t="s">
        <v>141</v>
      </c>
      <c r="B145" s="237" t="s">
        <v>142</v>
      </c>
      <c r="C145" s="237"/>
      <c r="D145" s="237"/>
      <c r="E145" s="237"/>
      <c r="F145" s="237"/>
      <c r="G145" s="237"/>
      <c r="H145" s="8"/>
      <c r="I145" s="8"/>
    </row>
    <row r="146" spans="1:9" ht="14.3" thickBot="1">
      <c r="A146" s="296" t="s">
        <v>143</v>
      </c>
      <c r="B146" s="297"/>
      <c r="C146" s="297"/>
      <c r="D146" s="297"/>
      <c r="E146" s="297"/>
      <c r="F146" s="297"/>
      <c r="G146" s="297"/>
      <c r="H146" s="297"/>
      <c r="I146" s="298"/>
    </row>
    <row r="147" spans="1:9" ht="14.3" thickBot="1">
      <c r="A147" s="48"/>
      <c r="B147" s="299" t="s">
        <v>144</v>
      </c>
      <c r="C147" s="300"/>
      <c r="D147" s="300"/>
      <c r="E147" s="300"/>
      <c r="F147" s="300"/>
      <c r="G147" s="300"/>
      <c r="H147" s="301"/>
      <c r="I147" s="52" t="s">
        <v>28</v>
      </c>
    </row>
    <row r="148" spans="1:9">
      <c r="A148" s="39" t="s">
        <v>2</v>
      </c>
      <c r="B148" s="302" t="s">
        <v>145</v>
      </c>
      <c r="C148" s="303"/>
      <c r="D148" s="303"/>
      <c r="E148" s="303"/>
      <c r="F148" s="303"/>
      <c r="G148" s="303"/>
      <c r="H148" s="304"/>
      <c r="I148" s="57"/>
    </row>
    <row r="149" spans="1:9">
      <c r="A149" s="49" t="s">
        <v>4</v>
      </c>
      <c r="B149" s="251" t="s">
        <v>146</v>
      </c>
      <c r="C149" s="252"/>
      <c r="D149" s="252"/>
      <c r="E149" s="252"/>
      <c r="F149" s="252"/>
      <c r="G149" s="252"/>
      <c r="H149" s="253"/>
      <c r="I149" s="58"/>
    </row>
    <row r="150" spans="1:9" ht="13.6" thickBot="1">
      <c r="A150" s="49" t="s">
        <v>7</v>
      </c>
      <c r="B150" s="283" t="s">
        <v>147</v>
      </c>
      <c r="C150" s="284"/>
      <c r="D150" s="284"/>
      <c r="E150" s="284"/>
      <c r="F150" s="284"/>
      <c r="G150" s="284"/>
      <c r="H150" s="285"/>
      <c r="I150" s="58"/>
    </row>
    <row r="151" spans="1:9" ht="14.3" thickBot="1">
      <c r="A151" s="286" t="s">
        <v>148</v>
      </c>
      <c r="B151" s="287"/>
      <c r="C151" s="287"/>
      <c r="D151" s="287"/>
      <c r="E151" s="287"/>
      <c r="F151" s="287"/>
      <c r="G151" s="287"/>
      <c r="H151" s="288"/>
      <c r="I151" s="56"/>
    </row>
    <row r="152" spans="1:9">
      <c r="A152" s="4" t="s">
        <v>149</v>
      </c>
      <c r="B152" t="s">
        <v>150</v>
      </c>
    </row>
    <row r="155" spans="1:9" ht="13.6">
      <c r="A155" s="17" t="s">
        <v>151</v>
      </c>
      <c r="B155" s="17">
        <f>I133/I23</f>
        <v>3.0432587028744762</v>
      </c>
    </row>
    <row r="156" spans="1:9" ht="13.6">
      <c r="A156" s="36"/>
      <c r="B156" s="17"/>
      <c r="E156" s="50"/>
    </row>
    <row r="157" spans="1:9" ht="13.6">
      <c r="A157" s="17" t="s">
        <v>152</v>
      </c>
      <c r="B157" s="17"/>
      <c r="C157" s="36">
        <f>'Quantidade de Serventes'!E5*'LIDER DE TURMA - LUCRO REAL'!I133</f>
        <v>41823.74</v>
      </c>
    </row>
    <row r="158" spans="1:9" ht="13.6">
      <c r="A158" s="17" t="s">
        <v>153</v>
      </c>
      <c r="B158" s="17"/>
      <c r="C158" s="36">
        <f>H8*C157</f>
        <v>1003769.76</v>
      </c>
      <c r="E158" s="51" t="e">
        <f>'Lucro Real'!C155-'LIDER DE TURMA - LUCRO REAL'!C158</f>
        <v>#REF!</v>
      </c>
    </row>
    <row r="159" spans="1:9">
      <c r="A159" s="50"/>
      <c r="E159" s="50" t="e">
        <f>E158/'Lucro Real'!C155*100</f>
        <v>#REF!</v>
      </c>
    </row>
    <row r="160" spans="1:9">
      <c r="A160" s="50"/>
    </row>
  </sheetData>
  <sheetProtection algorithmName="SHA-512" hashValue="pzrzuC+dUM97dI05Uid3BFcf3d+g3DPkIG06bkxh0hI7rIbhqLYD4u6rN8YiHxXw+Phs0HGy+qxyiAo5CYdzHQ==" saltValue="raSh1E3WSRrK8LZxZ6fqRg==" spinCount="100000" sheet="1" objects="1" scenarios="1"/>
  <mergeCells count="168">
    <mergeCell ref="B149:H149"/>
    <mergeCell ref="B150:H150"/>
    <mergeCell ref="A151:H151"/>
    <mergeCell ref="A143:H143"/>
    <mergeCell ref="B145:G145"/>
    <mergeCell ref="A146:I146"/>
    <mergeCell ref="B147:H147"/>
    <mergeCell ref="B148:H148"/>
    <mergeCell ref="A141:B141"/>
    <mergeCell ref="C141:D141"/>
    <mergeCell ref="E141:F141"/>
    <mergeCell ref="A142:B142"/>
    <mergeCell ref="C142:D142"/>
    <mergeCell ref="E142:F142"/>
    <mergeCell ref="A139:B139"/>
    <mergeCell ref="C139:D139"/>
    <mergeCell ref="E139:F139"/>
    <mergeCell ref="A140:B140"/>
    <mergeCell ref="C140:D140"/>
    <mergeCell ref="E140:F140"/>
    <mergeCell ref="A137:B137"/>
    <mergeCell ref="C137:D137"/>
    <mergeCell ref="E137:F137"/>
    <mergeCell ref="A138:B138"/>
    <mergeCell ref="C138:D138"/>
    <mergeCell ref="E138:F138"/>
    <mergeCell ref="A133:H133"/>
    <mergeCell ref="B135:G135"/>
    <mergeCell ref="A136:B136"/>
    <mergeCell ref="C136:D136"/>
    <mergeCell ref="E136:F136"/>
    <mergeCell ref="B128:H128"/>
    <mergeCell ref="B129:H129"/>
    <mergeCell ref="B130:H130"/>
    <mergeCell ref="B131:H131"/>
    <mergeCell ref="B132:H132"/>
    <mergeCell ref="B122:G122"/>
    <mergeCell ref="A124:I124"/>
    <mergeCell ref="A125:H125"/>
    <mergeCell ref="B126:H126"/>
    <mergeCell ref="B127:H127"/>
    <mergeCell ref="B114:I114"/>
    <mergeCell ref="B115:G115"/>
    <mergeCell ref="B116:G116"/>
    <mergeCell ref="B118:G118"/>
    <mergeCell ref="B120:G120"/>
    <mergeCell ref="B109:G109"/>
    <mergeCell ref="B110:G110"/>
    <mergeCell ref="B111:G111"/>
    <mergeCell ref="B112:G112"/>
    <mergeCell ref="A113:G113"/>
    <mergeCell ref="A104:I104"/>
    <mergeCell ref="A105:I105"/>
    <mergeCell ref="B106:G106"/>
    <mergeCell ref="B107:G107"/>
    <mergeCell ref="B108:G108"/>
    <mergeCell ref="B99:G99"/>
    <mergeCell ref="B100:G100"/>
    <mergeCell ref="B101:G101"/>
    <mergeCell ref="B102:G102"/>
    <mergeCell ref="A103:G103"/>
    <mergeCell ref="A95:H95"/>
    <mergeCell ref="A97:I97"/>
    <mergeCell ref="B98:G98"/>
    <mergeCell ref="B92:G92"/>
    <mergeCell ref="B93:G93"/>
    <mergeCell ref="B94:G94"/>
    <mergeCell ref="B91:G91"/>
    <mergeCell ref="B77:G77"/>
    <mergeCell ref="B78:G78"/>
    <mergeCell ref="B79:G79"/>
    <mergeCell ref="B80:G80"/>
    <mergeCell ref="B81:G81"/>
    <mergeCell ref="B72:G72"/>
    <mergeCell ref="A73:G73"/>
    <mergeCell ref="A74:I74"/>
    <mergeCell ref="A75:I75"/>
    <mergeCell ref="A76:G76"/>
    <mergeCell ref="A87:G87"/>
    <mergeCell ref="A88:I88"/>
    <mergeCell ref="A89:I89"/>
    <mergeCell ref="B82:G82"/>
    <mergeCell ref="A83:G83"/>
    <mergeCell ref="A84:I84"/>
    <mergeCell ref="A85:G85"/>
    <mergeCell ref="B86:G86"/>
    <mergeCell ref="A90:G90"/>
    <mergeCell ref="B67:G67"/>
    <mergeCell ref="B68:G68"/>
    <mergeCell ref="B69:G69"/>
    <mergeCell ref="B70:G70"/>
    <mergeCell ref="B71:G71"/>
    <mergeCell ref="B62:H62"/>
    <mergeCell ref="A63:H63"/>
    <mergeCell ref="A64:I64"/>
    <mergeCell ref="A65:I65"/>
    <mergeCell ref="B66:G66"/>
    <mergeCell ref="A57:I57"/>
    <mergeCell ref="A58:I58"/>
    <mergeCell ref="A59:H59"/>
    <mergeCell ref="B60:H60"/>
    <mergeCell ref="B61:H61"/>
    <mergeCell ref="B52:G52"/>
    <mergeCell ref="B53:G53"/>
    <mergeCell ref="B54:G54"/>
    <mergeCell ref="B55:G55"/>
    <mergeCell ref="A56:H56"/>
    <mergeCell ref="A47:G47"/>
    <mergeCell ref="A48:I48"/>
    <mergeCell ref="A49:G49"/>
    <mergeCell ref="B50:G50"/>
    <mergeCell ref="B51:G51"/>
    <mergeCell ref="B42:G42"/>
    <mergeCell ref="B43:G43"/>
    <mergeCell ref="B44:G44"/>
    <mergeCell ref="B45:G45"/>
    <mergeCell ref="B46:G46"/>
    <mergeCell ref="A38:G38"/>
    <mergeCell ref="B39:G39"/>
    <mergeCell ref="B40:G40"/>
    <mergeCell ref="B41:G41"/>
    <mergeCell ref="A31:I31"/>
    <mergeCell ref="A32:G32"/>
    <mergeCell ref="B33:G33"/>
    <mergeCell ref="B34:G34"/>
    <mergeCell ref="A36:G36"/>
    <mergeCell ref="B35:G35"/>
    <mergeCell ref="A37:H37"/>
    <mergeCell ref="B25:G25"/>
    <mergeCell ref="B26:G26"/>
    <mergeCell ref="B27:G27"/>
    <mergeCell ref="B28:G28"/>
    <mergeCell ref="A29:H29"/>
    <mergeCell ref="A20:I20"/>
    <mergeCell ref="A21:I21"/>
    <mergeCell ref="B22:G22"/>
    <mergeCell ref="B23:G23"/>
    <mergeCell ref="B24:G24"/>
    <mergeCell ref="B17:G17"/>
    <mergeCell ref="H17:I17"/>
    <mergeCell ref="B18:G18"/>
    <mergeCell ref="H18:I18"/>
    <mergeCell ref="B19:G19"/>
    <mergeCell ref="H19:I19"/>
    <mergeCell ref="A14:I14"/>
    <mergeCell ref="B15:G15"/>
    <mergeCell ref="H15:I15"/>
    <mergeCell ref="B16:G16"/>
    <mergeCell ref="H16:I16"/>
    <mergeCell ref="A12:B12"/>
    <mergeCell ref="C12:D12"/>
    <mergeCell ref="E12:I12"/>
    <mergeCell ref="B6:G6"/>
    <mergeCell ref="H6:I6"/>
    <mergeCell ref="B7:G7"/>
    <mergeCell ref="H7:I7"/>
    <mergeCell ref="B8:G8"/>
    <mergeCell ref="H8:I8"/>
    <mergeCell ref="A1:I1"/>
    <mergeCell ref="A2:I2"/>
    <mergeCell ref="A4:I4"/>
    <mergeCell ref="B5:G5"/>
    <mergeCell ref="H5:I5"/>
    <mergeCell ref="A10:I10"/>
    <mergeCell ref="A11:B11"/>
    <mergeCell ref="C11:D11"/>
    <mergeCell ref="E11:I11"/>
    <mergeCell ref="A3:F3"/>
  </mergeCells>
  <phoneticPr fontId="9" type="noConversion"/>
  <pageMargins left="0.51181102362204722" right="0.51181102362204722" top="0.78740157480314965" bottom="0.78740157480314965" header="0.31496062992125984" footer="0.31496062992125984"/>
  <pageSetup paperSize="9" scale="51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Q124"/>
  <sheetViews>
    <sheetView workbookViewId="0"/>
  </sheetViews>
  <sheetFormatPr defaultColWidth="17.875" defaultRowHeight="13.6" customHeight="1"/>
  <cols>
    <col min="1" max="1" width="6.625" style="108" customWidth="1"/>
    <col min="2" max="2" width="19.625" style="112" customWidth="1"/>
    <col min="3" max="3" width="30.25" style="109" customWidth="1"/>
    <col min="4" max="4" width="21.75" style="109" customWidth="1"/>
    <col min="5" max="5" width="16.875" style="109" customWidth="1"/>
    <col min="6" max="6" width="17.75" style="109" customWidth="1"/>
    <col min="7" max="7" width="17.125" style="109" customWidth="1"/>
    <col min="8" max="8" width="15" style="109" customWidth="1"/>
    <col min="9" max="9" width="11.875" style="108" customWidth="1"/>
    <col min="10" max="10" width="11.375" style="108" customWidth="1"/>
    <col min="11" max="16384" width="17.875" style="108"/>
  </cols>
  <sheetData>
    <row r="2" spans="2:8" s="109" customFormat="1" ht="38.25" customHeight="1">
      <c r="B2" s="351" t="s">
        <v>186</v>
      </c>
      <c r="C2" s="352"/>
    </row>
    <row r="3" spans="2:8" s="109" customFormat="1" ht="54.7" customHeight="1">
      <c r="B3" s="113" t="s">
        <v>242</v>
      </c>
      <c r="C3" s="174">
        <f>'SERVENTE - LUCRO REAL'!I133</f>
        <v>5267.12</v>
      </c>
      <c r="F3" s="192"/>
      <c r="G3" s="192"/>
    </row>
    <row r="4" spans="2:8" s="159" customFormat="1" ht="72.7" customHeight="1">
      <c r="B4" s="157" t="s">
        <v>241</v>
      </c>
      <c r="C4" s="175">
        <f>'LIDER DE TURMA - LUCRO REAL'!I133</f>
        <v>5974.82</v>
      </c>
    </row>
    <row r="6" spans="2:8" ht="13.6" customHeight="1">
      <c r="B6" s="358" t="s">
        <v>197</v>
      </c>
      <c r="C6" s="359"/>
      <c r="D6" s="359"/>
      <c r="E6" s="360"/>
    </row>
    <row r="7" spans="2:8" customFormat="1" ht="13.6" customHeight="1">
      <c r="B7" s="132" t="s">
        <v>210</v>
      </c>
      <c r="C7" s="124"/>
      <c r="D7" s="124"/>
      <c r="E7" s="121">
        <f>2615+41.22</f>
        <v>2656.22</v>
      </c>
      <c r="F7" s="67"/>
      <c r="G7" s="67"/>
      <c r="H7" s="67"/>
    </row>
    <row r="8" spans="2:8" customFormat="1" ht="13.6" customHeight="1">
      <c r="B8" s="132" t="s">
        <v>211</v>
      </c>
      <c r="C8" s="124"/>
      <c r="D8" s="124"/>
      <c r="E8" s="121">
        <v>1256.95</v>
      </c>
      <c r="F8" s="67"/>
      <c r="G8" s="67"/>
      <c r="H8" s="67"/>
    </row>
    <row r="9" spans="2:8" customFormat="1" ht="13.6" customHeight="1">
      <c r="B9" s="132" t="s">
        <v>313</v>
      </c>
      <c r="C9" s="124"/>
      <c r="D9" s="124"/>
      <c r="E9" s="121">
        <v>800</v>
      </c>
      <c r="F9" s="67"/>
      <c r="G9" s="67"/>
      <c r="H9" s="67"/>
    </row>
    <row r="10" spans="2:8" customFormat="1" ht="13.6" customHeight="1">
      <c r="B10" s="132" t="s">
        <v>314</v>
      </c>
      <c r="C10" s="124"/>
      <c r="D10" s="124"/>
      <c r="E10" s="121">
        <v>1200</v>
      </c>
      <c r="F10" s="67"/>
      <c r="G10" s="67"/>
      <c r="H10" s="67"/>
    </row>
    <row r="11" spans="2:8" customFormat="1" ht="13.6" customHeight="1">
      <c r="B11" s="132" t="s">
        <v>313</v>
      </c>
      <c r="C11" s="124"/>
      <c r="D11" s="124"/>
      <c r="E11" s="121">
        <v>1800</v>
      </c>
      <c r="F11" s="67"/>
      <c r="G11" s="67"/>
      <c r="H11" s="67"/>
    </row>
    <row r="12" spans="2:8" customFormat="1" ht="13.6" customHeight="1">
      <c r="B12" s="132" t="s">
        <v>315</v>
      </c>
      <c r="C12" s="124"/>
      <c r="D12" s="124"/>
      <c r="E12" s="121">
        <v>2700</v>
      </c>
      <c r="F12" s="67"/>
      <c r="G12" s="67"/>
      <c r="H12" s="67"/>
    </row>
    <row r="13" spans="2:8" customFormat="1" ht="13.6" customHeight="1">
      <c r="B13" s="132" t="s">
        <v>198</v>
      </c>
      <c r="C13" s="124"/>
      <c r="D13" s="124"/>
      <c r="E13" s="121">
        <v>2</v>
      </c>
      <c r="F13" s="67"/>
      <c r="G13" s="67"/>
      <c r="H13" s="67"/>
    </row>
    <row r="14" spans="2:8" ht="13.6" customHeight="1">
      <c r="B14" s="135" t="s">
        <v>194</v>
      </c>
      <c r="C14" s="134"/>
      <c r="D14" s="134"/>
      <c r="E14" s="137" t="s">
        <v>195</v>
      </c>
    </row>
    <row r="15" spans="2:8" customFormat="1" ht="13.6" customHeight="1">
      <c r="B15" s="132" t="s">
        <v>243</v>
      </c>
      <c r="C15" s="124"/>
      <c r="D15" s="125"/>
      <c r="E15" s="121">
        <v>365</v>
      </c>
      <c r="F15" s="67"/>
      <c r="G15" s="67"/>
      <c r="H15" s="67"/>
    </row>
    <row r="16" spans="2:8" customFormat="1" ht="13.6" customHeight="1">
      <c r="B16" s="132" t="s">
        <v>191</v>
      </c>
      <c r="C16" s="124"/>
      <c r="D16" s="125"/>
      <c r="E16" s="121">
        <v>12</v>
      </c>
      <c r="F16" s="67"/>
      <c r="G16" s="67"/>
      <c r="H16" s="67"/>
    </row>
    <row r="17" spans="2:9" customFormat="1" ht="13.6" customHeight="1">
      <c r="B17" s="132" t="s">
        <v>192</v>
      </c>
      <c r="C17" s="124"/>
      <c r="D17" s="125"/>
      <c r="E17" s="121">
        <v>30</v>
      </c>
      <c r="F17" s="67"/>
      <c r="G17" s="67"/>
      <c r="H17" s="67"/>
    </row>
    <row r="18" spans="2:9" customFormat="1" ht="13.6" customHeight="1">
      <c r="B18" s="133" t="s">
        <v>293</v>
      </c>
      <c r="C18" s="130"/>
      <c r="D18" s="131"/>
      <c r="E18" s="121">
        <v>7</v>
      </c>
      <c r="F18" s="67"/>
      <c r="G18" s="67"/>
      <c r="H18" s="67"/>
    </row>
    <row r="19" spans="2:9" customFormat="1" ht="13.6" customHeight="1">
      <c r="B19" s="126" t="s">
        <v>193</v>
      </c>
      <c r="C19" s="127"/>
      <c r="D19" s="129"/>
      <c r="E19" s="122">
        <v>4.29</v>
      </c>
      <c r="F19" s="67"/>
      <c r="G19" s="67"/>
      <c r="H19" s="67"/>
    </row>
    <row r="20" spans="2:9" customFormat="1" ht="13.6" customHeight="1">
      <c r="B20" s="126" t="s">
        <v>202</v>
      </c>
      <c r="C20" s="127"/>
      <c r="D20" s="128"/>
      <c r="E20" s="121">
        <v>44</v>
      </c>
      <c r="F20" s="67"/>
      <c r="G20" s="67"/>
      <c r="H20" s="67"/>
    </row>
    <row r="21" spans="2:9" customFormat="1" ht="13.6" customHeight="1">
      <c r="B21" s="126" t="s">
        <v>296</v>
      </c>
      <c r="C21" s="127"/>
      <c r="D21" s="128"/>
      <c r="E21" s="123">
        <f>E19*E20</f>
        <v>188.76</v>
      </c>
      <c r="F21" s="67"/>
      <c r="G21" s="67"/>
      <c r="H21" s="67"/>
    </row>
    <row r="22" spans="2:9" customFormat="1" ht="13.6" customHeight="1">
      <c r="B22" s="126" t="s">
        <v>298</v>
      </c>
      <c r="C22" s="127"/>
      <c r="D22" s="128"/>
      <c r="E22" s="121">
        <f>6*E21</f>
        <v>1132.56</v>
      </c>
      <c r="F22" s="67"/>
      <c r="G22" s="67"/>
      <c r="H22" s="67"/>
    </row>
    <row r="23" spans="2:9" ht="13.6" customHeight="1" thickBot="1"/>
    <row r="24" spans="2:9" ht="27" customHeight="1" thickBot="1">
      <c r="B24" s="355" t="s">
        <v>164</v>
      </c>
      <c r="C24" s="356"/>
      <c r="D24" s="356"/>
      <c r="E24" s="356"/>
      <c r="F24" s="356"/>
      <c r="G24" s="357"/>
    </row>
    <row r="25" spans="2:9" s="110" customFormat="1" ht="95.3" customHeight="1" thickBot="1">
      <c r="B25" s="234" t="s">
        <v>306</v>
      </c>
      <c r="C25" s="118" t="s">
        <v>303</v>
      </c>
      <c r="D25" s="118" t="s">
        <v>181</v>
      </c>
      <c r="E25" s="118" t="s">
        <v>180</v>
      </c>
      <c r="F25" s="118" t="s">
        <v>244</v>
      </c>
      <c r="G25" s="119" t="s">
        <v>209</v>
      </c>
      <c r="H25" s="111"/>
    </row>
    <row r="26" spans="2:9" ht="39.1" customHeight="1">
      <c r="B26" s="353" t="s">
        <v>183</v>
      </c>
      <c r="C26" s="116">
        <v>800</v>
      </c>
      <c r="D26" s="117" t="s">
        <v>220</v>
      </c>
      <c r="E26" s="116">
        <f>1/C26</f>
        <v>1.25E-3</v>
      </c>
      <c r="F26" s="143">
        <f>C3</f>
        <v>5267.12</v>
      </c>
      <c r="G26" s="120">
        <f>E26*F26</f>
        <v>6.5838999999999999</v>
      </c>
    </row>
    <row r="27" spans="2:9" s="164" customFormat="1" ht="39.1" customHeight="1">
      <c r="B27" s="354"/>
      <c r="C27" s="160">
        <v>800</v>
      </c>
      <c r="D27" s="161" t="s">
        <v>239</v>
      </c>
      <c r="E27" s="160">
        <f>1/(15*C27)</f>
        <v>8.3333333333333331E-5</v>
      </c>
      <c r="F27" s="162">
        <f>C4</f>
        <v>5974.82</v>
      </c>
      <c r="G27" s="163">
        <f>E27*F27</f>
        <v>0.49790166666666663</v>
      </c>
      <c r="H27" s="159"/>
      <c r="I27" s="208"/>
    </row>
    <row r="28" spans="2:9" s="164" customFormat="1" ht="13.6" customHeight="1" thickBot="1">
      <c r="B28" s="340" t="s">
        <v>307</v>
      </c>
      <c r="C28" s="341"/>
      <c r="D28" s="341"/>
      <c r="E28" s="341"/>
      <c r="F28" s="342"/>
      <c r="G28" s="165">
        <f>G26+G27</f>
        <v>7.0818016666666663</v>
      </c>
      <c r="H28" s="159"/>
    </row>
    <row r="29" spans="2:9" s="164" customFormat="1" ht="39.1" customHeight="1">
      <c r="B29" s="353" t="s">
        <v>184</v>
      </c>
      <c r="C29" s="116">
        <v>1200</v>
      </c>
      <c r="D29" s="117" t="s">
        <v>220</v>
      </c>
      <c r="E29" s="116">
        <f>1/C29</f>
        <v>8.3333333333333339E-4</v>
      </c>
      <c r="F29" s="143">
        <f>C3</f>
        <v>5267.12</v>
      </c>
      <c r="G29" s="120">
        <f>E29*F29</f>
        <v>4.3892666666666669</v>
      </c>
      <c r="H29" s="159"/>
    </row>
    <row r="30" spans="2:9" s="164" customFormat="1" ht="39.1" customHeight="1">
      <c r="B30" s="354"/>
      <c r="C30" s="160">
        <v>1200</v>
      </c>
      <c r="D30" s="161" t="s">
        <v>239</v>
      </c>
      <c r="E30" s="160">
        <f>1/(15*C30)</f>
        <v>5.5555555555555558E-5</v>
      </c>
      <c r="F30" s="162">
        <f>C4</f>
        <v>5974.82</v>
      </c>
      <c r="G30" s="163">
        <f>E30*F30</f>
        <v>0.33193444444444442</v>
      </c>
      <c r="H30" s="159"/>
    </row>
    <row r="31" spans="2:9" s="164" customFormat="1" ht="13.6" customHeight="1" thickBot="1">
      <c r="B31" s="340" t="s">
        <v>307</v>
      </c>
      <c r="C31" s="341"/>
      <c r="D31" s="341"/>
      <c r="E31" s="341"/>
      <c r="F31" s="342"/>
      <c r="G31" s="165">
        <f>G29+G30</f>
        <v>4.7212011111111112</v>
      </c>
      <c r="H31" s="159"/>
    </row>
    <row r="32" spans="2:9" s="164" customFormat="1" ht="13.6" customHeight="1">
      <c r="B32" s="232"/>
      <c r="C32" s="232"/>
      <c r="D32" s="232"/>
      <c r="E32" s="232"/>
      <c r="F32" s="232"/>
      <c r="G32" s="233"/>
      <c r="H32" s="159"/>
    </row>
    <row r="33" spans="2:9" s="164" customFormat="1" ht="11.25" customHeight="1" thickBot="1">
      <c r="B33" s="169"/>
      <c r="C33" s="159"/>
      <c r="D33" s="159"/>
      <c r="E33" s="159"/>
      <c r="F33" s="159"/>
      <c r="G33" s="159"/>
      <c r="H33" s="159"/>
    </row>
    <row r="34" spans="2:9" s="164" customFormat="1" ht="30.1" customHeight="1" thickBot="1">
      <c r="B34" s="355" t="s">
        <v>165</v>
      </c>
      <c r="C34" s="356"/>
      <c r="D34" s="356"/>
      <c r="E34" s="356"/>
      <c r="F34" s="356"/>
      <c r="G34" s="357"/>
      <c r="H34" s="159"/>
    </row>
    <row r="35" spans="2:9" s="173" customFormat="1" ht="95.3" customHeight="1" thickBot="1">
      <c r="B35" s="234" t="s">
        <v>306</v>
      </c>
      <c r="C35" s="118" t="s">
        <v>304</v>
      </c>
      <c r="D35" s="170" t="s">
        <v>181</v>
      </c>
      <c r="E35" s="170" t="s">
        <v>180</v>
      </c>
      <c r="F35" s="170" t="s">
        <v>244</v>
      </c>
      <c r="G35" s="171" t="s">
        <v>209</v>
      </c>
      <c r="H35" s="172"/>
    </row>
    <row r="36" spans="2:9" s="164" customFormat="1" ht="35.35" customHeight="1">
      <c r="B36" s="353" t="s">
        <v>183</v>
      </c>
      <c r="C36" s="166">
        <v>1800</v>
      </c>
      <c r="D36" s="117" t="s">
        <v>220</v>
      </c>
      <c r="E36" s="166">
        <f>1/C36</f>
        <v>5.5555555555555556E-4</v>
      </c>
      <c r="F36" s="167">
        <f>C3</f>
        <v>5267.12</v>
      </c>
      <c r="G36" s="168">
        <f>E36*F36</f>
        <v>2.9261777777777778</v>
      </c>
      <c r="H36" s="159"/>
    </row>
    <row r="37" spans="2:9" s="164" customFormat="1" ht="38.25" customHeight="1">
      <c r="B37" s="354"/>
      <c r="C37" s="160">
        <v>1800</v>
      </c>
      <c r="D37" s="161" t="s">
        <v>239</v>
      </c>
      <c r="E37" s="160">
        <f>1/(15*C37)</f>
        <v>3.7037037037037037E-5</v>
      </c>
      <c r="F37" s="162">
        <f>C4</f>
        <v>5974.82</v>
      </c>
      <c r="G37" s="163">
        <f t="shared" ref="G37" si="0">E37*F37</f>
        <v>0.22128962962962961</v>
      </c>
      <c r="H37" s="159"/>
      <c r="I37" s="208"/>
    </row>
    <row r="38" spans="2:9" s="164" customFormat="1" ht="13.6" customHeight="1" thickBot="1">
      <c r="B38" s="340" t="s">
        <v>148</v>
      </c>
      <c r="C38" s="348"/>
      <c r="D38" s="348"/>
      <c r="E38" s="348"/>
      <c r="F38" s="361"/>
      <c r="G38" s="165">
        <f>G36+G37</f>
        <v>3.1474674074074072</v>
      </c>
      <c r="H38" s="159"/>
    </row>
    <row r="39" spans="2:9" s="164" customFormat="1" ht="39.1" customHeight="1">
      <c r="B39" s="353" t="s">
        <v>184</v>
      </c>
      <c r="C39" s="166">
        <v>2700</v>
      </c>
      <c r="D39" s="117" t="s">
        <v>220</v>
      </c>
      <c r="E39" s="166">
        <f>1/C39</f>
        <v>3.7037037037037035E-4</v>
      </c>
      <c r="F39" s="167">
        <f>C3</f>
        <v>5267.12</v>
      </c>
      <c r="G39" s="168">
        <f>E39*F39</f>
        <v>1.950785185185185</v>
      </c>
      <c r="H39" s="159"/>
    </row>
    <row r="40" spans="2:9" s="164" customFormat="1" ht="39.1" customHeight="1">
      <c r="B40" s="354"/>
      <c r="C40" s="160">
        <v>2700</v>
      </c>
      <c r="D40" s="161" t="s">
        <v>239</v>
      </c>
      <c r="E40" s="160">
        <f>1/(15*C40)</f>
        <v>2.4691358024691357E-5</v>
      </c>
      <c r="F40" s="162">
        <f>C4</f>
        <v>5974.82</v>
      </c>
      <c r="G40" s="163">
        <f t="shared" ref="G40" si="1">E40*F40</f>
        <v>0.14752641975308639</v>
      </c>
      <c r="H40" s="159"/>
    </row>
    <row r="41" spans="2:9" s="164" customFormat="1" ht="13.6" customHeight="1" thickBot="1">
      <c r="B41" s="340" t="s">
        <v>148</v>
      </c>
      <c r="C41" s="348"/>
      <c r="D41" s="348"/>
      <c r="E41" s="348"/>
      <c r="F41" s="361"/>
      <c r="G41" s="165">
        <f>G39+G40</f>
        <v>2.0983116049382713</v>
      </c>
      <c r="H41" s="159"/>
    </row>
    <row r="42" spans="2:9" ht="25.5" customHeight="1"/>
    <row r="43" spans="2:9" ht="13.6" customHeight="1">
      <c r="B43" s="358" t="s">
        <v>199</v>
      </c>
      <c r="C43" s="359"/>
      <c r="D43" s="359"/>
      <c r="E43" s="360"/>
    </row>
    <row r="44" spans="2:9" ht="13.6" customHeight="1">
      <c r="B44" s="132" t="s">
        <v>196</v>
      </c>
      <c r="C44" s="134"/>
      <c r="D44" s="134"/>
      <c r="E44" s="136">
        <v>720.53</v>
      </c>
    </row>
    <row r="45" spans="2:9" customFormat="1" ht="13.6" customHeight="1">
      <c r="B45" s="132" t="s">
        <v>316</v>
      </c>
      <c r="C45" s="124"/>
      <c r="D45" s="124"/>
      <c r="E45" s="121">
        <v>300</v>
      </c>
      <c r="F45" s="67"/>
      <c r="G45" s="67"/>
      <c r="H45" s="67"/>
    </row>
    <row r="46" spans="2:9" customFormat="1" ht="13.6" customHeight="1">
      <c r="B46" s="132" t="s">
        <v>317</v>
      </c>
      <c r="C46" s="124"/>
      <c r="D46" s="124"/>
      <c r="E46" s="121">
        <v>380</v>
      </c>
      <c r="F46" s="67"/>
      <c r="G46" s="67"/>
      <c r="H46" s="67"/>
    </row>
    <row r="47" spans="2:9" customFormat="1" ht="13.6" customHeight="1">
      <c r="B47" s="132" t="s">
        <v>198</v>
      </c>
      <c r="C47" s="124"/>
      <c r="D47" s="124"/>
      <c r="E47" s="121">
        <v>1</v>
      </c>
      <c r="F47" s="67"/>
      <c r="G47" s="67"/>
      <c r="H47" s="67"/>
    </row>
    <row r="48" spans="2:9" ht="13.6" customHeight="1">
      <c r="B48" s="135" t="s">
        <v>194</v>
      </c>
      <c r="C48" s="134"/>
      <c r="D48" s="134"/>
      <c r="E48" s="137" t="s">
        <v>200</v>
      </c>
    </row>
    <row r="49" spans="2:10" customFormat="1" ht="13.6" customHeight="1">
      <c r="B49" s="132" t="s">
        <v>201</v>
      </c>
      <c r="C49" s="124"/>
      <c r="D49" s="125"/>
      <c r="E49" s="121">
        <v>365</v>
      </c>
      <c r="F49" s="67"/>
      <c r="G49" s="67"/>
      <c r="H49" s="67"/>
    </row>
    <row r="50" spans="2:10" customFormat="1" ht="13.6" customHeight="1">
      <c r="B50" s="132" t="s">
        <v>191</v>
      </c>
      <c r="C50" s="124"/>
      <c r="D50" s="125"/>
      <c r="E50" s="121">
        <v>12</v>
      </c>
      <c r="F50" s="67"/>
      <c r="G50" s="67"/>
      <c r="H50" s="67"/>
    </row>
    <row r="51" spans="2:10" customFormat="1" ht="13.6" customHeight="1">
      <c r="B51" s="132" t="s">
        <v>192</v>
      </c>
      <c r="C51" s="124"/>
      <c r="D51" s="125"/>
      <c r="E51" s="121">
        <v>2</v>
      </c>
      <c r="F51" s="67"/>
      <c r="G51" s="67"/>
      <c r="H51" s="67"/>
    </row>
    <row r="52" spans="2:10" customFormat="1" ht="13.6" customHeight="1">
      <c r="B52" s="133" t="s">
        <v>293</v>
      </c>
      <c r="C52" s="130"/>
      <c r="D52" s="131"/>
      <c r="E52" s="121" t="s">
        <v>58</v>
      </c>
      <c r="F52" s="67"/>
      <c r="G52" s="67"/>
      <c r="H52" s="67"/>
    </row>
    <row r="53" spans="2:10" customFormat="1" ht="13.6" customHeight="1">
      <c r="B53" s="126" t="s">
        <v>193</v>
      </c>
      <c r="C53" s="127"/>
      <c r="D53" s="129"/>
      <c r="E53" s="122" t="s">
        <v>58</v>
      </c>
      <c r="F53" s="67"/>
      <c r="G53" s="67"/>
      <c r="H53" s="67"/>
    </row>
    <row r="54" spans="2:10" customFormat="1" ht="13.6" customHeight="1">
      <c r="B54" s="126" t="s">
        <v>202</v>
      </c>
      <c r="C54" s="127"/>
      <c r="D54" s="128"/>
      <c r="E54" s="121">
        <v>44</v>
      </c>
      <c r="F54" s="67"/>
      <c r="G54" s="67"/>
      <c r="H54" s="67"/>
    </row>
    <row r="55" spans="2:10" customFormat="1" ht="13.6" customHeight="1">
      <c r="B55" s="126" t="s">
        <v>300</v>
      </c>
      <c r="C55" s="127"/>
      <c r="D55" s="128"/>
      <c r="E55" s="123">
        <v>17.600000000000001</v>
      </c>
      <c r="F55" s="67"/>
      <c r="G55" s="67"/>
      <c r="H55" s="67"/>
    </row>
    <row r="56" spans="2:10" customFormat="1" ht="13.6" customHeight="1">
      <c r="B56" s="126" t="s">
        <v>299</v>
      </c>
      <c r="C56" s="127"/>
      <c r="D56" s="128"/>
      <c r="E56" s="123">
        <f>6*E55</f>
        <v>105.60000000000001</v>
      </c>
      <c r="F56" s="67"/>
      <c r="G56" s="67"/>
      <c r="H56" s="67"/>
    </row>
    <row r="57" spans="2:10" customFormat="1" ht="13.6" customHeight="1">
      <c r="B57" s="138"/>
      <c r="C57" s="67"/>
      <c r="D57" s="67"/>
      <c r="E57" s="139"/>
      <c r="F57" s="67"/>
      <c r="G57" s="67"/>
      <c r="H57" s="67"/>
    </row>
    <row r="58" spans="2:10" ht="14.3" customHeight="1" thickBot="1"/>
    <row r="59" spans="2:10" ht="24.8" customHeight="1" thickBot="1">
      <c r="B59" s="344" t="s">
        <v>203</v>
      </c>
      <c r="C59" s="345"/>
      <c r="D59" s="345"/>
      <c r="E59" s="345"/>
      <c r="F59" s="345"/>
      <c r="G59" s="345"/>
      <c r="H59" s="346"/>
      <c r="I59" s="346"/>
      <c r="J59" s="347"/>
    </row>
    <row r="60" spans="2:10" s="110" customFormat="1" ht="95.3" customHeight="1" thickBot="1">
      <c r="B60" s="234" t="s">
        <v>306</v>
      </c>
      <c r="C60" s="194" t="s">
        <v>305</v>
      </c>
      <c r="D60" s="194" t="s">
        <v>181</v>
      </c>
      <c r="E60" s="194" t="s">
        <v>180</v>
      </c>
      <c r="F60" s="194" t="s">
        <v>244</v>
      </c>
      <c r="G60" s="194" t="s">
        <v>301</v>
      </c>
      <c r="H60" s="194" t="s">
        <v>302</v>
      </c>
      <c r="I60" s="194" t="s">
        <v>294</v>
      </c>
      <c r="J60" s="196" t="s">
        <v>297</v>
      </c>
    </row>
    <row r="61" spans="2:10" ht="35.35" customHeight="1">
      <c r="B61" s="343" t="s">
        <v>183</v>
      </c>
      <c r="C61" s="144">
        <v>300</v>
      </c>
      <c r="D61" s="145" t="s">
        <v>220</v>
      </c>
      <c r="E61" s="144">
        <f>1/C61</f>
        <v>3.3333333333333335E-3</v>
      </c>
      <c r="F61" s="146">
        <f>C3</f>
        <v>5267.12</v>
      </c>
      <c r="G61" s="147">
        <f>E55</f>
        <v>17.600000000000001</v>
      </c>
      <c r="H61" s="144">
        <f>1/188.76</f>
        <v>5.2977325704598437E-3</v>
      </c>
      <c r="I61" s="144">
        <f>E61*G61*H61</f>
        <v>3.1080031080031085E-4</v>
      </c>
      <c r="J61" s="149">
        <f>I61*F61</f>
        <v>1.6370225330225332</v>
      </c>
    </row>
    <row r="62" spans="2:10" s="164" customFormat="1" ht="38.25" customHeight="1">
      <c r="B62" s="343"/>
      <c r="C62" s="160">
        <v>300</v>
      </c>
      <c r="D62" s="161" t="s">
        <v>295</v>
      </c>
      <c r="E62" s="160">
        <f>1/(15*C62)</f>
        <v>2.2222222222222223E-4</v>
      </c>
      <c r="F62" s="158">
        <f>C4</f>
        <v>5974.82</v>
      </c>
      <c r="G62" s="162">
        <f>G61</f>
        <v>17.600000000000001</v>
      </c>
      <c r="H62" s="160">
        <f t="shared" ref="H62" si="2">1/188.76</f>
        <v>5.2977325704598437E-3</v>
      </c>
      <c r="I62" s="160">
        <f>E62*G62*H62</f>
        <v>2.0720020720020726E-5</v>
      </c>
      <c r="J62" s="163">
        <f>I62*F62</f>
        <v>0.12379839419839422</v>
      </c>
    </row>
    <row r="63" spans="2:10" s="164" customFormat="1" thickBot="1">
      <c r="B63" s="340" t="s">
        <v>307</v>
      </c>
      <c r="C63" s="348"/>
      <c r="D63" s="348"/>
      <c r="E63" s="348"/>
      <c r="F63" s="348"/>
      <c r="G63" s="349"/>
      <c r="H63" s="349"/>
      <c r="I63" s="350"/>
      <c r="J63" s="165">
        <f>J61+J62</f>
        <v>1.7608209272209274</v>
      </c>
    </row>
    <row r="64" spans="2:10" s="164" customFormat="1" ht="35.35" customHeight="1">
      <c r="B64" s="365" t="s">
        <v>184</v>
      </c>
      <c r="C64" s="144">
        <v>380</v>
      </c>
      <c r="D64" s="145" t="s">
        <v>220</v>
      </c>
      <c r="E64" s="144">
        <f>1/C64</f>
        <v>2.631578947368421E-3</v>
      </c>
      <c r="F64" s="146">
        <f>C3</f>
        <v>5267.12</v>
      </c>
      <c r="G64" s="147">
        <v>17.600000000000001</v>
      </c>
      <c r="H64" s="144">
        <f>1/188.76</f>
        <v>5.2977325704598437E-3</v>
      </c>
      <c r="I64" s="144">
        <f>E64*G64*H64</f>
        <v>2.4536866642129801E-4</v>
      </c>
      <c r="J64" s="149">
        <f>I64*F64</f>
        <v>1.2923862102809471</v>
      </c>
    </row>
    <row r="65" spans="2:17" s="164" customFormat="1" ht="40.1">
      <c r="B65" s="354"/>
      <c r="C65" s="160">
        <v>380</v>
      </c>
      <c r="D65" s="161" t="s">
        <v>295</v>
      </c>
      <c r="E65" s="160">
        <f>1/(15*C65)</f>
        <v>1.7543859649122806E-4</v>
      </c>
      <c r="F65" s="158">
        <f>C4</f>
        <v>5974.82</v>
      </c>
      <c r="G65" s="162">
        <v>17.600000000000001</v>
      </c>
      <c r="H65" s="160">
        <f t="shared" ref="H65" si="3">1/188.76</f>
        <v>5.2977325704598437E-3</v>
      </c>
      <c r="I65" s="160">
        <f>E65*G65*H65</f>
        <v>1.6357911094753203E-5</v>
      </c>
      <c r="J65" s="163">
        <f>I65*F65</f>
        <v>9.7735574367153327E-2</v>
      </c>
    </row>
    <row r="66" spans="2:17" s="164" customFormat="1" ht="14.3" thickBot="1">
      <c r="B66" s="340"/>
      <c r="C66" s="341"/>
      <c r="D66" s="341"/>
      <c r="E66" s="341"/>
      <c r="F66" s="341"/>
      <c r="G66" s="341"/>
      <c r="H66" s="341"/>
      <c r="I66" s="342"/>
      <c r="J66" s="165">
        <f>J64+J65</f>
        <v>1.3901217846481004</v>
      </c>
    </row>
    <row r="67" spans="2:17" s="164" customFormat="1">
      <c r="B67" s="232"/>
      <c r="C67" s="235"/>
      <c r="D67" s="235"/>
      <c r="E67" s="235"/>
      <c r="F67" s="235"/>
      <c r="G67" s="229"/>
      <c r="H67" s="229"/>
      <c r="I67" s="229"/>
      <c r="J67" s="233"/>
    </row>
    <row r="68" spans="2:17" ht="23.95" customHeight="1" thickBot="1"/>
    <row r="69" spans="2:17" ht="48.75" customHeight="1" thickBot="1">
      <c r="B69" s="372" t="s">
        <v>214</v>
      </c>
      <c r="C69" s="373"/>
      <c r="D69" s="373"/>
      <c r="E69" s="373"/>
      <c r="F69" s="373"/>
      <c r="G69" s="374"/>
      <c r="I69" s="236"/>
      <c r="J69" s="236"/>
      <c r="K69" s="236"/>
      <c r="L69" s="236"/>
      <c r="M69" s="236"/>
      <c r="N69" s="236"/>
      <c r="O69" s="236"/>
      <c r="P69" s="236"/>
      <c r="Q69" s="233"/>
    </row>
    <row r="70" spans="2:17" s="109" customFormat="1" ht="45" customHeight="1">
      <c r="B70" s="187" t="s">
        <v>212</v>
      </c>
      <c r="C70" s="188" t="s">
        <v>198</v>
      </c>
      <c r="D70" s="189" t="s">
        <v>213</v>
      </c>
      <c r="E70" s="188" t="s">
        <v>215</v>
      </c>
      <c r="F70" s="188" t="s">
        <v>216</v>
      </c>
      <c r="G70" s="190" t="s">
        <v>217</v>
      </c>
    </row>
    <row r="71" spans="2:17" ht="28.55" customHeight="1">
      <c r="B71" s="151" t="s">
        <v>164</v>
      </c>
      <c r="C71" s="114">
        <v>2</v>
      </c>
      <c r="D71" s="156">
        <f>E7</f>
        <v>2656.22</v>
      </c>
      <c r="E71" s="142">
        <f>G28</f>
        <v>7.0818016666666663</v>
      </c>
      <c r="F71" s="142">
        <f>E71*D71</f>
        <v>18810.823223033331</v>
      </c>
      <c r="G71" s="152">
        <f>TRUNC(F71*C71,2)</f>
        <v>37621.64</v>
      </c>
    </row>
    <row r="72" spans="2:17" ht="28.55" customHeight="1">
      <c r="B72" s="151" t="s">
        <v>165</v>
      </c>
      <c r="C72" s="114">
        <v>2</v>
      </c>
      <c r="D72" s="156">
        <f>E8</f>
        <v>1256.95</v>
      </c>
      <c r="E72" s="142">
        <f>G38</f>
        <v>3.1474674074074072</v>
      </c>
      <c r="F72" s="142">
        <f>E72*D72</f>
        <v>3956.2091577407405</v>
      </c>
      <c r="G72" s="152">
        <f>TRUNC(F72*C72,2)</f>
        <v>7912.41</v>
      </c>
    </row>
    <row r="73" spans="2:17" ht="28.55" customHeight="1" thickBot="1">
      <c r="B73" s="153" t="s">
        <v>218</v>
      </c>
      <c r="C73" s="148">
        <v>1</v>
      </c>
      <c r="D73" s="155">
        <f>E44</f>
        <v>720.53</v>
      </c>
      <c r="E73" s="154">
        <f>J63</f>
        <v>1.7608209272209274</v>
      </c>
      <c r="F73" s="154">
        <f t="shared" ref="F73" si="4">E73*D73</f>
        <v>1268.7243026904948</v>
      </c>
      <c r="G73" s="152">
        <f>TRUNC(F73*C73,2)</f>
        <v>1268.72</v>
      </c>
    </row>
    <row r="74" spans="2:17" ht="18" customHeight="1">
      <c r="B74" s="111"/>
      <c r="E74" s="375" t="s">
        <v>219</v>
      </c>
      <c r="F74" s="376"/>
      <c r="G74" s="184">
        <f>TRUNC(G71+G72+G73,2)</f>
        <v>46802.77</v>
      </c>
      <c r="I74" s="191"/>
    </row>
    <row r="75" spans="2:17" ht="18" customHeight="1" thickBot="1">
      <c r="E75" s="377" t="s">
        <v>310</v>
      </c>
      <c r="F75" s="378"/>
      <c r="G75" s="185">
        <f>G74*24</f>
        <v>1123266.48</v>
      </c>
    </row>
    <row r="76" spans="2:17" ht="13.6" customHeight="1">
      <c r="F76" s="150"/>
      <c r="G76" s="150"/>
    </row>
    <row r="77" spans="2:17" ht="47.25" customHeight="1"/>
    <row r="78" spans="2:17" ht="18" customHeight="1"/>
    <row r="79" spans="2:17" ht="90" customHeight="1">
      <c r="B79" s="379"/>
      <c r="C79" s="380"/>
      <c r="D79" s="380"/>
      <c r="E79" s="380"/>
      <c r="F79" s="380"/>
      <c r="G79" s="380"/>
    </row>
    <row r="80" spans="2:17" s="109" customFormat="1" ht="45" customHeight="1">
      <c r="B80" s="111"/>
      <c r="C80" s="111"/>
      <c r="D80" s="111"/>
      <c r="E80" s="111"/>
      <c r="F80" s="111"/>
      <c r="G80" s="111"/>
    </row>
    <row r="81" spans="2:7" ht="26.35" customHeight="1">
      <c r="B81" s="111"/>
      <c r="E81" s="192"/>
      <c r="F81" s="192"/>
      <c r="G81" s="192"/>
    </row>
    <row r="82" spans="2:7" ht="26.35" customHeight="1">
      <c r="B82" s="111"/>
      <c r="E82" s="192"/>
      <c r="F82" s="192"/>
      <c r="G82" s="192"/>
    </row>
    <row r="83" spans="2:7" ht="26.35" customHeight="1">
      <c r="B83" s="111"/>
      <c r="E83" s="192"/>
      <c r="F83" s="192"/>
      <c r="G83" s="192"/>
    </row>
    <row r="84" spans="2:7" ht="18" customHeight="1">
      <c r="B84" s="111"/>
      <c r="E84" s="370"/>
      <c r="F84" s="371"/>
      <c r="G84" s="218"/>
    </row>
    <row r="85" spans="2:7" ht="18" customHeight="1">
      <c r="E85" s="370"/>
      <c r="F85" s="371"/>
      <c r="G85" s="218"/>
    </row>
    <row r="86" spans="2:7" ht="48.1" customHeight="1">
      <c r="F86" s="150"/>
      <c r="G86" s="150"/>
    </row>
    <row r="87" spans="2:7" ht="18" customHeight="1"/>
    <row r="88" spans="2:7" ht="18" customHeight="1"/>
    <row r="89" spans="2:7" ht="18" customHeight="1"/>
    <row r="90" spans="2:7" ht="18" customHeight="1"/>
    <row r="91" spans="2:7" ht="18" customHeight="1"/>
    <row r="92" spans="2:7" ht="18" customHeight="1"/>
    <row r="115" spans="2:10" ht="13.6" customHeight="1" thickBot="1"/>
    <row r="116" spans="2:10" s="110" customFormat="1" ht="95.3" customHeight="1" thickBot="1">
      <c r="B116" s="193"/>
      <c r="C116" s="194" t="s">
        <v>204</v>
      </c>
      <c r="D116" s="194" t="s">
        <v>181</v>
      </c>
      <c r="E116" s="194" t="s">
        <v>180</v>
      </c>
      <c r="F116" s="194" t="s">
        <v>182</v>
      </c>
      <c r="G116" s="195" t="s">
        <v>205</v>
      </c>
      <c r="H116" s="194" t="s">
        <v>206</v>
      </c>
      <c r="I116" s="194" t="s">
        <v>207</v>
      </c>
      <c r="J116" s="196" t="s">
        <v>208</v>
      </c>
    </row>
    <row r="117" spans="2:10" ht="35.35" customHeight="1">
      <c r="B117" s="353" t="s">
        <v>183</v>
      </c>
      <c r="C117" s="116">
        <v>300</v>
      </c>
      <c r="D117" s="117" t="s">
        <v>187</v>
      </c>
      <c r="E117" s="116">
        <f>1/C117</f>
        <v>3.3333333333333335E-3</v>
      </c>
      <c r="F117" s="141">
        <f>C3</f>
        <v>5267.12</v>
      </c>
      <c r="G117" s="143">
        <v>44</v>
      </c>
      <c r="H117" s="116">
        <f>1/188.76</f>
        <v>5.2977325704598437E-3</v>
      </c>
      <c r="I117" s="116">
        <f>E117*G117*H117</f>
        <v>7.7700077700077711E-4</v>
      </c>
      <c r="J117" s="120">
        <f>I117*F117</f>
        <v>4.0925563325563328</v>
      </c>
    </row>
    <row r="118" spans="2:10" ht="35.35" customHeight="1">
      <c r="B118" s="365"/>
      <c r="C118" s="114">
        <v>300</v>
      </c>
      <c r="D118" s="115" t="s">
        <v>188</v>
      </c>
      <c r="E118" s="114">
        <f>(1/15)/C118</f>
        <v>2.2222222222222221E-4</v>
      </c>
      <c r="F118" s="142">
        <f>C4</f>
        <v>5974.82</v>
      </c>
      <c r="G118" s="140">
        <f>G117</f>
        <v>44</v>
      </c>
      <c r="H118" s="114">
        <f t="shared" ref="H118:H119" si="5">1/188.76</f>
        <v>5.2977325704598437E-3</v>
      </c>
      <c r="I118" s="114">
        <f t="shared" ref="I118:I119" si="6">E118*G118*H118</f>
        <v>5.1800051800051802E-5</v>
      </c>
      <c r="J118" s="197">
        <f t="shared" ref="J118:J119" si="7">I118*F118</f>
        <v>0.3094959854959855</v>
      </c>
    </row>
    <row r="119" spans="2:10" ht="35.35" customHeight="1" thickBot="1">
      <c r="B119" s="366"/>
      <c r="C119" s="148">
        <v>300</v>
      </c>
      <c r="D119" s="198" t="s">
        <v>185</v>
      </c>
      <c r="E119" s="148">
        <f>1/(30*C119)</f>
        <v>1.1111111111111112E-4</v>
      </c>
      <c r="F119" s="154" t="e">
        <f>#REF!</f>
        <v>#REF!</v>
      </c>
      <c r="G119" s="199">
        <f>G118</f>
        <v>44</v>
      </c>
      <c r="H119" s="148">
        <f t="shared" si="5"/>
        <v>5.2977325704598437E-3</v>
      </c>
      <c r="I119" s="148">
        <f t="shared" si="6"/>
        <v>2.5900025900025901E-5</v>
      </c>
      <c r="J119" s="200" t="e">
        <f t="shared" si="7"/>
        <v>#REF!</v>
      </c>
    </row>
    <row r="120" spans="2:10" ht="13.6" customHeight="1" thickBot="1">
      <c r="B120" s="362" t="s">
        <v>189</v>
      </c>
      <c r="C120" s="363"/>
      <c r="D120" s="363"/>
      <c r="E120" s="363"/>
      <c r="F120" s="364"/>
      <c r="G120" s="201"/>
      <c r="H120" s="202"/>
      <c r="I120" s="202"/>
      <c r="J120" s="203"/>
    </row>
    <row r="121" spans="2:10" ht="39.1" customHeight="1">
      <c r="B121" s="353" t="s">
        <v>184</v>
      </c>
      <c r="C121" s="116">
        <v>380</v>
      </c>
      <c r="D121" s="117" t="s">
        <v>187</v>
      </c>
      <c r="E121" s="117">
        <f>1/C121</f>
        <v>2.631578947368421E-3</v>
      </c>
      <c r="F121" s="141">
        <f>F117</f>
        <v>5267.12</v>
      </c>
      <c r="G121" s="143">
        <f t="shared" ref="G121:G123" si="8">G117</f>
        <v>44</v>
      </c>
      <c r="H121" s="116">
        <f>2/188.76</f>
        <v>1.0595465140919687E-2</v>
      </c>
      <c r="I121" s="116">
        <f>E121*G121*H121</f>
        <v>1.2268433321064901E-3</v>
      </c>
      <c r="J121" s="120">
        <f>I121*F121</f>
        <v>6.4619310514047363</v>
      </c>
    </row>
    <row r="122" spans="2:10" ht="39.1" customHeight="1">
      <c r="B122" s="365"/>
      <c r="C122" s="114">
        <v>380</v>
      </c>
      <c r="D122" s="115" t="s">
        <v>188</v>
      </c>
      <c r="E122" s="114">
        <f>(1/15)/C122</f>
        <v>1.7543859649122806E-4</v>
      </c>
      <c r="F122" s="142">
        <f>F118</f>
        <v>5974.82</v>
      </c>
      <c r="G122" s="140">
        <f t="shared" si="8"/>
        <v>44</v>
      </c>
      <c r="H122" s="114">
        <f>2/188.76</f>
        <v>1.0595465140919687E-2</v>
      </c>
      <c r="I122" s="114">
        <f t="shared" ref="I122:I123" si="9">E122*G122*H122</f>
        <v>8.1789555473766009E-5</v>
      </c>
      <c r="J122" s="197">
        <f t="shared" ref="J122" si="10">I122*F122</f>
        <v>0.48867787183576661</v>
      </c>
    </row>
    <row r="123" spans="2:10" ht="39.1" customHeight="1" thickBot="1">
      <c r="B123" s="366"/>
      <c r="C123" s="148">
        <v>380</v>
      </c>
      <c r="D123" s="198" t="s">
        <v>185</v>
      </c>
      <c r="E123" s="148">
        <f>(1/30)/C123</f>
        <v>8.7719298245614029E-5</v>
      </c>
      <c r="F123" s="154" t="e">
        <f>F119</f>
        <v>#REF!</v>
      </c>
      <c r="G123" s="199">
        <f t="shared" si="8"/>
        <v>44</v>
      </c>
      <c r="H123" s="148">
        <f>2/188.76</f>
        <v>1.0595465140919687E-2</v>
      </c>
      <c r="I123" s="148">
        <f t="shared" si="9"/>
        <v>4.0894777736883005E-5</v>
      </c>
      <c r="J123" s="200" t="e">
        <f>I123*F123</f>
        <v>#REF!</v>
      </c>
    </row>
    <row r="124" spans="2:10" ht="13.6" customHeight="1" thickBot="1">
      <c r="B124" s="367" t="s">
        <v>190</v>
      </c>
      <c r="C124" s="368"/>
      <c r="D124" s="368"/>
      <c r="E124" s="368"/>
      <c r="F124" s="369"/>
      <c r="G124" s="204"/>
      <c r="H124" s="205"/>
      <c r="I124" s="206"/>
      <c r="J124" s="207"/>
    </row>
  </sheetData>
  <sheetProtection algorithmName="SHA-512" hashValue="sMQP8VgsZoC/va84XIDlxE6FCoRPycQuw8vlJwxWzQnpREdqrRad1mevmRY3QOY0Cqyogs6qbyEj9TTIB30Axg==" saltValue="RLkqitdfnqc2gzqVVEXLLw==" spinCount="100000" sheet="1" objects="1" scenarios="1"/>
  <mergeCells count="28">
    <mergeCell ref="B64:B65"/>
    <mergeCell ref="B66:I66"/>
    <mergeCell ref="B69:G69"/>
    <mergeCell ref="B117:B119"/>
    <mergeCell ref="E74:F74"/>
    <mergeCell ref="E75:F75"/>
    <mergeCell ref="B79:G79"/>
    <mergeCell ref="B120:F120"/>
    <mergeCell ref="B121:B123"/>
    <mergeCell ref="B124:F124"/>
    <mergeCell ref="E84:F84"/>
    <mergeCell ref="E85:F85"/>
    <mergeCell ref="B28:F28"/>
    <mergeCell ref="B61:B62"/>
    <mergeCell ref="B59:J59"/>
    <mergeCell ref="B63:I63"/>
    <mergeCell ref="B2:C2"/>
    <mergeCell ref="B26:B27"/>
    <mergeCell ref="B24:G24"/>
    <mergeCell ref="B6:E6"/>
    <mergeCell ref="B43:E43"/>
    <mergeCell ref="B34:G34"/>
    <mergeCell ref="B36:B37"/>
    <mergeCell ref="B38:F38"/>
    <mergeCell ref="B29:B30"/>
    <mergeCell ref="B31:F31"/>
    <mergeCell ref="B39:B40"/>
    <mergeCell ref="B41:F41"/>
  </mergeCells>
  <pageMargins left="0.70866141732283472" right="0.70866141732283472" top="0.74803149606299213" bottom="1.7322834645669292" header="0.31496062992125984" footer="0.31496062992125984"/>
  <pageSetup paperSize="9" scale="30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6"/>
  <sheetViews>
    <sheetView tabSelected="1" zoomScaleNormal="100" workbookViewId="0"/>
  </sheetViews>
  <sheetFormatPr defaultColWidth="9" defaultRowHeight="12.9"/>
  <cols>
    <col min="1" max="1" width="36.625" customWidth="1"/>
    <col min="2" max="2" width="15.375" customWidth="1"/>
    <col min="3" max="3" width="22.875" customWidth="1"/>
    <col min="4" max="4" width="18" customWidth="1"/>
    <col min="5" max="5" width="36.375" customWidth="1"/>
    <col min="6" max="6" width="27.25" customWidth="1"/>
  </cols>
  <sheetData>
    <row r="1" spans="1:6" s="67" customFormat="1" ht="60.8" customHeight="1">
      <c r="A1" s="86" t="s">
        <v>224</v>
      </c>
      <c r="B1" s="87" t="s">
        <v>225</v>
      </c>
      <c r="C1" s="95" t="s">
        <v>240</v>
      </c>
      <c r="D1" s="95" t="s">
        <v>154</v>
      </c>
      <c r="E1" s="181" t="s">
        <v>229</v>
      </c>
      <c r="F1" s="180" t="s">
        <v>230</v>
      </c>
    </row>
    <row r="2" spans="1:6" ht="22.6" customHeight="1">
      <c r="A2" s="89" t="s">
        <v>226</v>
      </c>
      <c r="B2" s="68">
        <v>2656.22</v>
      </c>
      <c r="C2" s="68">
        <v>800</v>
      </c>
      <c r="D2" s="68">
        <f>B2/C2</f>
        <v>3.3202749999999996</v>
      </c>
      <c r="E2" s="182">
        <f>D2</f>
        <v>3.3202749999999996</v>
      </c>
      <c r="F2" s="88">
        <f>E2*2</f>
        <v>6.6405499999999993</v>
      </c>
    </row>
    <row r="3" spans="1:6" ht="22.6" customHeight="1">
      <c r="A3" s="89" t="s">
        <v>227</v>
      </c>
      <c r="B3" s="68">
        <v>1256.95</v>
      </c>
      <c r="C3" s="68">
        <v>1800</v>
      </c>
      <c r="D3" s="68">
        <f t="shared" ref="D3" si="0">B3/C3</f>
        <v>0.69830555555555562</v>
      </c>
      <c r="E3" s="182">
        <f t="shared" ref="E3:E4" si="1">D3</f>
        <v>0.69830555555555562</v>
      </c>
      <c r="F3" s="88">
        <f>E3*2</f>
        <v>1.3966111111111112</v>
      </c>
    </row>
    <row r="4" spans="1:6" ht="22.6" customHeight="1" thickBot="1">
      <c r="A4" s="89" t="s">
        <v>228</v>
      </c>
      <c r="B4" s="68">
        <v>720.53</v>
      </c>
      <c r="C4" s="176">
        <v>300</v>
      </c>
      <c r="D4" s="176">
        <f>B4/C4</f>
        <v>2.4017666666666666</v>
      </c>
      <c r="E4" s="182">
        <f t="shared" si="1"/>
        <v>2.4017666666666666</v>
      </c>
      <c r="F4" s="177">
        <f>E4*1</f>
        <v>2.4017666666666666</v>
      </c>
    </row>
    <row r="5" spans="1:6" ht="46.55" customHeight="1" thickBot="1">
      <c r="A5" s="90" t="s">
        <v>148</v>
      </c>
      <c r="B5" s="179">
        <f>SUM(B2:B4)</f>
        <v>4633.7</v>
      </c>
      <c r="C5" s="383" t="s">
        <v>318</v>
      </c>
      <c r="D5" s="384"/>
      <c r="E5" s="183">
        <v>7</v>
      </c>
      <c r="F5" s="178">
        <v>11</v>
      </c>
    </row>
    <row r="6" spans="1:6">
      <c r="A6" s="391"/>
      <c r="B6" s="392"/>
      <c r="C6" s="393"/>
      <c r="D6" s="393"/>
      <c r="E6" s="150"/>
    </row>
    <row r="7" spans="1:6" ht="15.8" customHeight="1">
      <c r="A7" s="394"/>
      <c r="B7" s="395"/>
      <c r="C7" s="395"/>
      <c r="D7" s="395"/>
      <c r="E7" s="395"/>
      <c r="F7" s="396"/>
    </row>
    <row r="8" spans="1:6" ht="41.95" customHeight="1">
      <c r="A8" s="394" t="s">
        <v>231</v>
      </c>
      <c r="B8" s="395"/>
      <c r="C8" s="395"/>
      <c r="D8" s="395"/>
      <c r="E8" s="395"/>
      <c r="F8" s="396"/>
    </row>
    <row r="9" spans="1:6" ht="47.25" customHeight="1">
      <c r="A9" s="394" t="s">
        <v>222</v>
      </c>
      <c r="B9" s="395"/>
      <c r="C9" s="395"/>
      <c r="D9" s="395"/>
      <c r="E9" s="395"/>
      <c r="F9" s="396"/>
    </row>
    <row r="10" spans="1:6" ht="39.1" customHeight="1">
      <c r="A10" s="394" t="s">
        <v>223</v>
      </c>
      <c r="B10" s="395"/>
      <c r="C10" s="395"/>
      <c r="D10" s="395"/>
      <c r="E10" s="395"/>
      <c r="F10" s="396"/>
    </row>
    <row r="11" spans="1:6" ht="39.1" customHeight="1">
      <c r="A11" s="394" t="s">
        <v>308</v>
      </c>
      <c r="B11" s="395"/>
      <c r="C11" s="395"/>
      <c r="D11" s="395"/>
      <c r="E11" s="395"/>
      <c r="F11" s="396"/>
    </row>
    <row r="12" spans="1:6" ht="39.1" customHeight="1">
      <c r="A12" s="381" t="s">
        <v>309</v>
      </c>
      <c r="B12" s="381"/>
      <c r="C12" s="381"/>
      <c r="D12" s="381"/>
      <c r="E12" s="381"/>
      <c r="F12" s="382"/>
    </row>
    <row r="13" spans="1:6">
      <c r="A13" s="150"/>
      <c r="B13" s="109"/>
      <c r="C13" s="109"/>
      <c r="D13" s="109"/>
      <c r="E13" s="150"/>
    </row>
    <row r="14" spans="1:6">
      <c r="A14" s="150"/>
      <c r="B14" s="109"/>
      <c r="C14" s="109"/>
      <c r="D14" s="109"/>
      <c r="E14" s="150"/>
    </row>
    <row r="15" spans="1:6">
      <c r="A15" s="150"/>
      <c r="B15" s="109"/>
      <c r="C15" s="109"/>
      <c r="D15" s="109"/>
      <c r="E15" s="150"/>
    </row>
    <row r="19" spans="1:6" ht="325.55" customHeight="1" thickBot="1"/>
    <row r="20" spans="1:6" s="64" customFormat="1" ht="13.6" customHeight="1">
      <c r="A20" s="78" t="s">
        <v>163</v>
      </c>
      <c r="B20" s="79"/>
      <c r="C20" s="79"/>
      <c r="D20" s="80">
        <v>3836.9</v>
      </c>
      <c r="E20" s="385" t="s">
        <v>170</v>
      </c>
    </row>
    <row r="21" spans="1:6" s="64" customFormat="1" ht="13.6" customHeight="1">
      <c r="A21" s="81" t="s">
        <v>177</v>
      </c>
      <c r="D21" s="70">
        <v>4309.2</v>
      </c>
      <c r="E21" s="386"/>
    </row>
    <row r="22" spans="1:6" s="64" customFormat="1" ht="13.6" customHeight="1">
      <c r="A22" s="96" t="s">
        <v>178</v>
      </c>
      <c r="B22" s="73"/>
      <c r="C22" s="73"/>
      <c r="D22" s="74">
        <f>(D20*E5)+(D21-D20)</f>
        <v>27330.6</v>
      </c>
      <c r="E22" s="386"/>
    </row>
    <row r="23" spans="1:6" s="64" customFormat="1" ht="13.6" customHeight="1">
      <c r="A23" s="82" t="s">
        <v>169</v>
      </c>
      <c r="B23" s="73"/>
      <c r="C23" s="73"/>
      <c r="D23" s="74">
        <f>D22/B5</f>
        <v>5.8982238815633297</v>
      </c>
      <c r="E23" s="386"/>
    </row>
    <row r="24" spans="1:6" s="64" customFormat="1" ht="13.6" customHeight="1" thickBot="1">
      <c r="A24" s="83" t="s">
        <v>168</v>
      </c>
      <c r="B24" s="84"/>
      <c r="C24" s="84"/>
      <c r="D24" s="85">
        <f>D22*12</f>
        <v>327967.19999999995</v>
      </c>
      <c r="E24" s="387"/>
    </row>
    <row r="25" spans="1:6" s="64" customFormat="1" ht="13.6" customHeight="1" thickBot="1">
      <c r="E25" s="94"/>
    </row>
    <row r="26" spans="1:6" s="64" customFormat="1" ht="13.6" customHeight="1">
      <c r="A26" s="78" t="s">
        <v>163</v>
      </c>
      <c r="B26" s="79"/>
      <c r="C26" s="79"/>
      <c r="D26" s="91">
        <v>3836.9</v>
      </c>
      <c r="E26" s="385" t="s">
        <v>176</v>
      </c>
    </row>
    <row r="27" spans="1:6" s="64" customFormat="1" ht="13.6" customHeight="1">
      <c r="A27" s="81" t="s">
        <v>177</v>
      </c>
      <c r="D27" s="69">
        <v>4309.2</v>
      </c>
      <c r="E27" s="386"/>
    </row>
    <row r="28" spans="1:6" s="64" customFormat="1" ht="27" customHeight="1">
      <c r="A28" s="388" t="s">
        <v>175</v>
      </c>
      <c r="B28" s="389"/>
      <c r="C28" s="389"/>
      <c r="D28" s="390"/>
      <c r="E28" s="386"/>
    </row>
    <row r="29" spans="1:6" s="66" customFormat="1" ht="34.65">
      <c r="A29" s="92"/>
      <c r="B29" s="75" t="s">
        <v>171</v>
      </c>
      <c r="C29" s="75" t="s">
        <v>172</v>
      </c>
      <c r="D29" s="76" t="s">
        <v>173</v>
      </c>
      <c r="E29" s="386"/>
      <c r="F29" s="104" t="s">
        <v>179</v>
      </c>
    </row>
    <row r="30" spans="1:6" s="64" customFormat="1">
      <c r="A30" s="97" t="s">
        <v>164</v>
      </c>
      <c r="B30" s="77">
        <f>(D26*E2)+(B36*E2)</f>
        <v>12963.586845</v>
      </c>
      <c r="C30" s="68">
        <v>2656.22</v>
      </c>
      <c r="D30" s="77">
        <f>B30/C30</f>
        <v>4.8804642857142859</v>
      </c>
      <c r="E30" s="386"/>
      <c r="F30" s="105">
        <f>(D30*B2)*2</f>
        <v>25927.17369</v>
      </c>
    </row>
    <row r="31" spans="1:6" s="64" customFormat="1">
      <c r="A31" s="97" t="s">
        <v>165</v>
      </c>
      <c r="B31" s="77">
        <f>(D26*E3)+(B36*E3)</f>
        <v>2726.4442595238097</v>
      </c>
      <c r="C31" s="68">
        <v>1256.95</v>
      </c>
      <c r="D31" s="77">
        <f t="shared" ref="D31:D32" si="2">B31/C31</f>
        <v>2.1690952380952382</v>
      </c>
      <c r="E31" s="386"/>
      <c r="F31" s="105">
        <f>(D31*B3)*2</f>
        <v>5452.8885190476194</v>
      </c>
    </row>
    <row r="32" spans="1:6" s="64" customFormat="1" ht="13.6" thickBot="1">
      <c r="A32" s="99" t="s">
        <v>166</v>
      </c>
      <c r="B32" s="100">
        <f>(D26*E4)+(B36*E4)</f>
        <v>9377.3891514285715</v>
      </c>
      <c r="C32" s="68">
        <v>720.53</v>
      </c>
      <c r="D32" s="77">
        <f t="shared" si="2"/>
        <v>13.014571428571429</v>
      </c>
      <c r="E32" s="386"/>
      <c r="F32" s="105">
        <f>(D32*B4)/2</f>
        <v>4688.6945757142857</v>
      </c>
    </row>
    <row r="33" spans="1:6" s="64" customFormat="1" ht="11.55">
      <c r="A33" s="101" t="s">
        <v>167</v>
      </c>
      <c r="B33" s="102">
        <f>B30+B31+B32</f>
        <v>25067.42025595238</v>
      </c>
      <c r="D33" s="65"/>
      <c r="E33" s="386"/>
      <c r="F33" s="106"/>
    </row>
    <row r="34" spans="1:6" s="64" customFormat="1" ht="12.25" thickBot="1">
      <c r="A34" s="98" t="s">
        <v>168</v>
      </c>
      <c r="B34" s="103">
        <f>B33*12</f>
        <v>300809.04307142855</v>
      </c>
      <c r="C34" s="84"/>
      <c r="D34" s="93"/>
      <c r="E34" s="387"/>
      <c r="F34" s="105">
        <f>F30+F31+F32</f>
        <v>36068.756784761907</v>
      </c>
    </row>
    <row r="35" spans="1:6">
      <c r="F35" s="107">
        <f>F34*12</f>
        <v>432825.08141714288</v>
      </c>
    </row>
    <row r="36" spans="1:6" ht="84.75" customHeight="1">
      <c r="A36" s="71" t="s">
        <v>174</v>
      </c>
      <c r="B36" s="72">
        <f>(D27-D26)/E5</f>
        <v>67.471428571428532</v>
      </c>
    </row>
  </sheetData>
  <sheetProtection algorithmName="SHA-512" hashValue="2eEIbYf5tKh3iyEgwJfkbYDAG63fo179vbrbCEoS7lQYpqr5nIaOzJQeUZrAT3VdRSrGSvkCXZwYcPD/UklG0g==" saltValue="Gvdm42pQ7P/GEszLJmr+Ow==" spinCount="100000" sheet="1" objects="1" scenarios="1"/>
  <mergeCells count="11">
    <mergeCell ref="A12:F12"/>
    <mergeCell ref="C5:D5"/>
    <mergeCell ref="E20:E24"/>
    <mergeCell ref="E26:E34"/>
    <mergeCell ref="A28:D28"/>
    <mergeCell ref="A6:D6"/>
    <mergeCell ref="A7:F7"/>
    <mergeCell ref="A8:F8"/>
    <mergeCell ref="A9:F9"/>
    <mergeCell ref="A10:F10"/>
    <mergeCell ref="A11:F11"/>
  </mergeCells>
  <pageMargins left="0.51180555555555596" right="0.51180555555555596" top="0.78680555555555598" bottom="0.78680555555555598" header="0.31458333333333299" footer="0.31458333333333299"/>
  <pageSetup paperSize="9" scale="4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Lucro Real</vt:lpstr>
      <vt:lpstr>ENCARREGADO</vt:lpstr>
      <vt:lpstr>LIDER DE TURMA - LUCRO REAL</vt:lpstr>
      <vt:lpstr>SERVENTE - LUCRO REAL</vt:lpstr>
      <vt:lpstr>CONFORME IN</vt:lpstr>
      <vt:lpstr>Quantidade de Serventes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Divisão de Licitação</cp:lastModifiedBy>
  <cp:lastPrinted>2025-10-07T17:28:58Z</cp:lastPrinted>
  <dcterms:created xsi:type="dcterms:W3CDTF">2010-12-08T17:56:00Z</dcterms:created>
  <dcterms:modified xsi:type="dcterms:W3CDTF">2026-02-04T18:20:38Z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1046-10.2.0.7516</vt:lpwstr>
  </property>
</Properties>
</file>